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840" tabRatio="601" activeTab="3"/>
  </bookViews>
  <sheets>
    <sheet name="balance sheet" sheetId="1" r:id="rId1"/>
    <sheet name="income stat" sheetId="2" r:id="rId2"/>
    <sheet name="equity" sheetId="3" r:id="rId3"/>
    <sheet name="cash flow" sheetId="4" r:id="rId4"/>
  </sheets>
  <externalReferences>
    <externalReference r:id="rId7"/>
    <externalReference r:id="rId8"/>
    <externalReference r:id="rId9"/>
  </externalReferences>
  <definedNames>
    <definedName name="_xlnm.Print_Area" localSheetId="0">'balance sheet'!$A$1:$F$61</definedName>
    <definedName name="_xlnm.Print_Area" localSheetId="2">'equity'!$A$1:$L$62</definedName>
    <definedName name="_xlnm.Print_Area" localSheetId="1">'income stat'!$A$1:$K$49</definedName>
  </definedNames>
  <calcPr fullCalcOnLoad="1"/>
</workbook>
</file>

<file path=xl/sharedStrings.xml><?xml version="1.0" encoding="utf-8"?>
<sst xmlns="http://schemas.openxmlformats.org/spreadsheetml/2006/main" count="180" uniqueCount="131">
  <si>
    <t>(The firgures have not been audited)</t>
  </si>
  <si>
    <t>CONDENSED CONSOLIDATED BALANCE SHEETS</t>
  </si>
  <si>
    <t>RM'000</t>
  </si>
  <si>
    <t>Property, plant and equipment</t>
  </si>
  <si>
    <t>Investment in joint venture companies</t>
  </si>
  <si>
    <t>Other investment</t>
  </si>
  <si>
    <t>Current Assets</t>
  </si>
  <si>
    <t xml:space="preserve">   Inventories</t>
  </si>
  <si>
    <t xml:space="preserve">   Trade receivables</t>
  </si>
  <si>
    <t xml:space="preserve">   Other receivables, deposits and prepayments</t>
  </si>
  <si>
    <t xml:space="preserve">   Tax recoverable</t>
  </si>
  <si>
    <t xml:space="preserve">   Fixed deposit with licensed banks</t>
  </si>
  <si>
    <t xml:space="preserve">   Cash and bank balances</t>
  </si>
  <si>
    <t>Current Liabilities</t>
  </si>
  <si>
    <t xml:space="preserve">   Trade payables</t>
  </si>
  <si>
    <t xml:space="preserve">   Other payables and accruals</t>
  </si>
  <si>
    <t xml:space="preserve">   Short term borrowings</t>
  </si>
  <si>
    <t xml:space="preserve">   Dividend payable</t>
  </si>
  <si>
    <t>Net Current Assets</t>
  </si>
  <si>
    <t>Financed by</t>
  </si>
  <si>
    <t>Share Capital</t>
  </si>
  <si>
    <t>Reserves</t>
  </si>
  <si>
    <t xml:space="preserve">   Retained profits</t>
  </si>
  <si>
    <t xml:space="preserve">   Share premium</t>
  </si>
  <si>
    <t xml:space="preserve">   Reserve on consolidation</t>
  </si>
  <si>
    <t>Shareholders' equity</t>
  </si>
  <si>
    <t>Minority interests</t>
  </si>
  <si>
    <t>Long Term and Deferred Liabilities</t>
  </si>
  <si>
    <t xml:space="preserve">   Borrowings </t>
  </si>
  <si>
    <t xml:space="preserve">   Deferred taxation</t>
  </si>
  <si>
    <t>Net tangible assets per share  (RM)</t>
  </si>
  <si>
    <t>interim financial report)</t>
  </si>
  <si>
    <t>CONDENSED CONSOLIDATED INCOME STATEMENTS</t>
  </si>
  <si>
    <t xml:space="preserve">Individual quarter </t>
  </si>
  <si>
    <t xml:space="preserve">        Cumulative quarter</t>
  </si>
  <si>
    <t>Current</t>
  </si>
  <si>
    <t>Preceding year</t>
  </si>
  <si>
    <t>year</t>
  </si>
  <si>
    <t xml:space="preserve">corresponding </t>
  </si>
  <si>
    <t>corresponding</t>
  </si>
  <si>
    <t>quarter</t>
  </si>
  <si>
    <t>to date</t>
  </si>
  <si>
    <t>period</t>
  </si>
  <si>
    <t>Revenue</t>
  </si>
  <si>
    <t>Operating expenses</t>
  </si>
  <si>
    <t>Other operating income</t>
  </si>
  <si>
    <t xml:space="preserve">  </t>
  </si>
  <si>
    <t>Profit from operations</t>
  </si>
  <si>
    <t>Finance costs</t>
  </si>
  <si>
    <t>Profit before taxation</t>
  </si>
  <si>
    <t>Taxation</t>
  </si>
  <si>
    <t>Profit after taxation</t>
  </si>
  <si>
    <t>Net profit for the period</t>
  </si>
  <si>
    <t xml:space="preserve"> </t>
  </si>
  <si>
    <t xml:space="preserve">  Basic</t>
  </si>
  <si>
    <t xml:space="preserve">  Diluted</t>
  </si>
  <si>
    <t>CONDENSED CONSOLIDATED STATEMENT OF CHANGES IN EQUITY</t>
  </si>
  <si>
    <t xml:space="preserve">Share </t>
  </si>
  <si>
    <t>Reserve on</t>
  </si>
  <si>
    <t xml:space="preserve">Retained </t>
  </si>
  <si>
    <t>capital</t>
  </si>
  <si>
    <t>premium</t>
  </si>
  <si>
    <t xml:space="preserve"> consolidation</t>
  </si>
  <si>
    <t>profits</t>
  </si>
  <si>
    <t>Total</t>
  </si>
  <si>
    <t>Balance as at 1 April 2004</t>
  </si>
  <si>
    <t xml:space="preserve">Final dividend proposed in respect </t>
  </si>
  <si>
    <t xml:space="preserve">  of the current financial year</t>
  </si>
  <si>
    <t xml:space="preserve"> CONDENSED CONSOLIDATED CASH FLOW STATEMENT</t>
  </si>
  <si>
    <t>CASH FLOWS FROM OPERATING ACTIVITIES</t>
  </si>
  <si>
    <t>Adjustments for non cash items</t>
  </si>
  <si>
    <t>Operating profit before working capital changes</t>
  </si>
  <si>
    <t>Net changes in working capital</t>
  </si>
  <si>
    <t>Interest paid</t>
  </si>
  <si>
    <t>Tax paid</t>
  </si>
  <si>
    <t>CASH FLOWS FROM INVESTING ACTIVITIES</t>
  </si>
  <si>
    <t>Other investments</t>
  </si>
  <si>
    <t>Equity investment</t>
  </si>
  <si>
    <t>Net cash outflow from investing activities</t>
  </si>
  <si>
    <t>CASH FLOWS FROM FINANCING ACTIVITIES</t>
  </si>
  <si>
    <t>Bank borrowings</t>
  </si>
  <si>
    <t>Dividend paid to the former shareholders of</t>
  </si>
  <si>
    <t xml:space="preserve"> the subsidiary companies</t>
  </si>
  <si>
    <t>Repayment from a joint venture company</t>
  </si>
  <si>
    <t>Dividend paid to the shareholders of the Company</t>
  </si>
  <si>
    <t>Reserve on consolidation arising from</t>
  </si>
  <si>
    <t xml:space="preserve">   Taxation</t>
  </si>
  <si>
    <t>Balance as at 31 March 2005</t>
  </si>
  <si>
    <t>Disposal of investment</t>
  </si>
  <si>
    <t>Proceed from issuance of new ordinary shares</t>
  </si>
  <si>
    <t>Issuance of new ordinary shares</t>
  </si>
  <si>
    <t>Dividend received from quoted investment</t>
  </si>
  <si>
    <t>Amortisation of reserve on consolidation</t>
  </si>
  <si>
    <t>Dividend paid in respect of financial year</t>
  </si>
  <si>
    <t>ended 31 March 2004</t>
  </si>
  <si>
    <t>year ended 31 March 2005</t>
  </si>
  <si>
    <t>Dividend payable in respect of financial</t>
  </si>
  <si>
    <t>n/a</t>
  </si>
  <si>
    <t xml:space="preserve">            ordinary share of RM1.00 each to two (2) ordinary share of RM0.50 each during the financial </t>
  </si>
  <si>
    <t>Note : The net tangible assets per share is calculated in conjunction with the share split of one (1)</t>
  </si>
  <si>
    <t xml:space="preserve">            year.  The preceding year comparative figures have been adjusted accordingly.</t>
  </si>
  <si>
    <t>Earnings per share (sen)</t>
  </si>
  <si>
    <t>31/03/05</t>
  </si>
  <si>
    <t>Balance as at 1 April 2005</t>
  </si>
  <si>
    <t>subsidiary company</t>
  </si>
  <si>
    <t xml:space="preserve">                </t>
  </si>
  <si>
    <t xml:space="preserve">                 </t>
  </si>
  <si>
    <t xml:space="preserve">acquisition of addition shares in a  </t>
  </si>
  <si>
    <t>Net increase/ (decrease) in cash and cash equivalents</t>
  </si>
  <si>
    <t>for the financial period</t>
  </si>
  <si>
    <t>Net profit for the financial period</t>
  </si>
  <si>
    <t>Net profit for the financial  period</t>
  </si>
  <si>
    <t>Net cash inflow/(outflow) from operating activities</t>
  </si>
  <si>
    <t>Net cash (outflow)/inflow from financing activities</t>
  </si>
  <si>
    <t>(The notes set out on pages 5 to 10 form an integral part of and should be read in conjunction with this</t>
  </si>
  <si>
    <t>Cash and cash equivalents at end of financial period</t>
  </si>
  <si>
    <t>Cash and cash equivalents at beginning of financial  period</t>
  </si>
  <si>
    <t>Second quarter interim report for the financial period ended 30 September 2005</t>
  </si>
  <si>
    <t>30/9/05</t>
  </si>
  <si>
    <t>30/9/04</t>
  </si>
  <si>
    <t>Balance as at 30 September 2004</t>
  </si>
  <si>
    <t>Balance as at 30 September 2005</t>
  </si>
  <si>
    <t>acquisition of a subsidiary company</t>
  </si>
  <si>
    <t>Cash generated from operations</t>
  </si>
  <si>
    <t>Note : The preceding year's basic earnings per share have been adjusted accordingly in conjunction with the share</t>
  </si>
  <si>
    <t xml:space="preserve">               split of one (1) ordinary share of RM1.00 each to two (2) ordinary share of RM0.50 each.</t>
  </si>
  <si>
    <t>Share of results of  jointly controlled entities</t>
  </si>
  <si>
    <t xml:space="preserve">   Amount owing by jointly controlled entities</t>
  </si>
  <si>
    <t xml:space="preserve">   Amount owing to jointly controlled entities</t>
  </si>
  <si>
    <t>ACOUSTECH BERHAD (496665-W)</t>
  </si>
  <si>
    <t>(Incorporated in Malaysia)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</si>
</sst>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* #,##0.00000000_);_(* \(#,##0.00000000\);_(* &quot;-&quot;??_);_(@_)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172" fontId="0" fillId="0" borderId="0" xfId="0" applyAlignment="1">
      <alignment/>
    </xf>
    <xf numFmtId="172" fontId="1" fillId="0" borderId="0" xfId="0" applyFont="1" applyAlignment="1">
      <alignment/>
    </xf>
    <xf numFmtId="172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172" fontId="2" fillId="0" borderId="0" xfId="0" applyFont="1" applyAlignment="1" quotePrefix="1">
      <alignment/>
    </xf>
    <xf numFmtId="164" fontId="2" fillId="0" borderId="0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43" fontId="2" fillId="0" borderId="0" xfId="15" applyFont="1" applyAlignment="1">
      <alignment/>
    </xf>
    <xf numFmtId="172" fontId="1" fillId="0" borderId="0" xfId="0" applyFont="1" applyAlignment="1" quotePrefix="1">
      <alignment horizontal="left"/>
    </xf>
    <xf numFmtId="172" fontId="2" fillId="0" borderId="0" xfId="0" applyFont="1" applyAlignment="1" quotePrefix="1">
      <alignment horizontal="left"/>
    </xf>
    <xf numFmtId="172" fontId="2" fillId="0" borderId="0" xfId="0" applyFont="1" applyBorder="1" applyAlignment="1">
      <alignment/>
    </xf>
    <xf numFmtId="172" fontId="2" fillId="0" borderId="0" xfId="0" applyFont="1" applyAlignment="1">
      <alignment horizontal="left"/>
    </xf>
    <xf numFmtId="167" fontId="2" fillId="0" borderId="0" xfId="15" applyNumberFormat="1" applyFont="1" applyAlignment="1">
      <alignment/>
    </xf>
    <xf numFmtId="172" fontId="2" fillId="0" borderId="0" xfId="0" applyFont="1" applyFill="1" applyAlignment="1">
      <alignment/>
    </xf>
    <xf numFmtId="164" fontId="2" fillId="0" borderId="0" xfId="15" applyNumberFormat="1" applyFont="1" applyFill="1" applyAlignment="1">
      <alignment/>
    </xf>
    <xf numFmtId="172" fontId="1" fillId="0" borderId="0" xfId="0" applyFont="1" applyAlignment="1">
      <alignment horizontal="left"/>
    </xf>
    <xf numFmtId="172" fontId="2" fillId="0" borderId="0" xfId="0" applyFont="1" applyFill="1" applyAlignment="1" quotePrefix="1">
      <alignment horizontal="center"/>
    </xf>
    <xf numFmtId="172" fontId="1" fillId="0" borderId="0" xfId="0" applyFont="1" applyFill="1" applyAlignment="1">
      <alignment horizontal="center"/>
    </xf>
    <xf numFmtId="164" fontId="1" fillId="0" borderId="0" xfId="15" applyNumberFormat="1" applyFont="1" applyFill="1" applyAlignment="1">
      <alignment horizontal="center"/>
    </xf>
    <xf numFmtId="172" fontId="2" fillId="0" borderId="0" xfId="0" applyFont="1" applyFill="1" applyAlignment="1">
      <alignment horizontal="center"/>
    </xf>
    <xf numFmtId="164" fontId="2" fillId="0" borderId="0" xfId="15" applyNumberFormat="1" applyFont="1" applyFill="1" applyBorder="1" applyAlignment="1">
      <alignment horizontal="center"/>
    </xf>
    <xf numFmtId="164" fontId="2" fillId="0" borderId="0" xfId="15" applyNumberFormat="1" applyFont="1" applyFill="1" applyBorder="1" applyAlignment="1">
      <alignment/>
    </xf>
    <xf numFmtId="164" fontId="2" fillId="0" borderId="1" xfId="15" applyNumberFormat="1" applyFont="1" applyFill="1" applyBorder="1" applyAlignment="1">
      <alignment/>
    </xf>
    <xf numFmtId="43" fontId="2" fillId="0" borderId="6" xfId="15" applyFont="1" applyFill="1" applyBorder="1" applyAlignment="1">
      <alignment/>
    </xf>
    <xf numFmtId="172" fontId="2" fillId="0" borderId="0" xfId="0" applyFont="1" applyFill="1" applyBorder="1" applyAlignment="1">
      <alignment/>
    </xf>
    <xf numFmtId="164" fontId="2" fillId="0" borderId="0" xfId="15" applyNumberFormat="1" applyFont="1" applyFill="1" applyAlignment="1" quotePrefix="1">
      <alignment horizontal="center"/>
    </xf>
    <xf numFmtId="172" fontId="1" fillId="0" borderId="0" xfId="0" applyFont="1" applyFill="1" applyAlignment="1">
      <alignment/>
    </xf>
    <xf numFmtId="164" fontId="2" fillId="0" borderId="0" xfId="15" applyNumberFormat="1" applyFont="1" applyFill="1" applyAlignment="1">
      <alignment horizontal="center"/>
    </xf>
    <xf numFmtId="172" fontId="2" fillId="0" borderId="0" xfId="0" applyFont="1" applyFill="1" applyBorder="1" applyAlignment="1">
      <alignment horizontal="center"/>
    </xf>
    <xf numFmtId="164" fontId="2" fillId="0" borderId="0" xfId="15" applyNumberFormat="1" applyFont="1" applyFill="1" applyBorder="1" applyAlignment="1" quotePrefix="1">
      <alignment horizontal="left"/>
    </xf>
    <xf numFmtId="164" fontId="2" fillId="0" borderId="7" xfId="15" applyNumberFormat="1" applyFont="1" applyBorder="1" applyAlignment="1">
      <alignment/>
    </xf>
    <xf numFmtId="164" fontId="2" fillId="0" borderId="4" xfId="15" applyNumberFormat="1" applyFont="1" applyFill="1" applyBorder="1" applyAlignment="1">
      <alignment/>
    </xf>
    <xf numFmtId="172" fontId="6" fillId="0" borderId="0" xfId="0" applyFont="1" applyAlignment="1" quotePrefix="1">
      <alignment horizontal="left"/>
    </xf>
    <xf numFmtId="172" fontId="4" fillId="0" borderId="0" xfId="0" applyFont="1" applyAlignment="1" quotePrefix="1">
      <alignment horizontal="left"/>
    </xf>
    <xf numFmtId="164" fontId="1" fillId="0" borderId="0" xfId="15" applyNumberFormat="1" applyFont="1" applyFill="1" applyBorder="1" applyAlignment="1">
      <alignment horizontal="center"/>
    </xf>
    <xf numFmtId="164" fontId="1" fillId="0" borderId="0" xfId="15" applyNumberFormat="1" applyFont="1" applyFill="1" applyBorder="1" applyAlignment="1">
      <alignment/>
    </xf>
    <xf numFmtId="164" fontId="1" fillId="0" borderId="0" xfId="15" applyNumberFormat="1" applyFont="1" applyFill="1" applyBorder="1" applyAlignment="1" quotePrefix="1">
      <alignment horizontal="left"/>
    </xf>
    <xf numFmtId="164" fontId="1" fillId="0" borderId="1" xfId="15" applyNumberFormat="1" applyFont="1" applyFill="1" applyBorder="1" applyAlignment="1">
      <alignment/>
    </xf>
    <xf numFmtId="164" fontId="1" fillId="0" borderId="1" xfId="15" applyNumberFormat="1" applyFont="1" applyFill="1" applyBorder="1" applyAlignment="1" quotePrefix="1">
      <alignment/>
    </xf>
    <xf numFmtId="164" fontId="1" fillId="0" borderId="1" xfId="15" applyNumberFormat="1" applyFont="1" applyFill="1" applyBorder="1" applyAlignment="1">
      <alignment horizontal="center"/>
    </xf>
    <xf numFmtId="164" fontId="1" fillId="0" borderId="0" xfId="15" applyNumberFormat="1" applyFont="1" applyFill="1" applyAlignment="1">
      <alignment/>
    </xf>
    <xf numFmtId="164" fontId="1" fillId="0" borderId="0" xfId="15" applyNumberFormat="1" applyFont="1" applyAlignment="1">
      <alignment/>
    </xf>
    <xf numFmtId="164" fontId="1" fillId="0" borderId="2" xfId="15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164" fontId="1" fillId="0" borderId="1" xfId="15" applyNumberFormat="1" applyFont="1" applyBorder="1" applyAlignment="1">
      <alignment/>
    </xf>
    <xf numFmtId="164" fontId="1" fillId="0" borderId="7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43" fontId="1" fillId="0" borderId="0" xfId="15" applyFont="1" applyAlignment="1">
      <alignment/>
    </xf>
    <xf numFmtId="172" fontId="2" fillId="0" borderId="0" xfId="0" applyFont="1" applyAlignment="1">
      <alignment horizontal="right"/>
    </xf>
    <xf numFmtId="164" fontId="1" fillId="0" borderId="0" xfId="15" applyNumberFormat="1" applyFont="1" applyFill="1" applyAlignment="1">
      <alignment horizontal="right"/>
    </xf>
    <xf numFmtId="172" fontId="1" fillId="0" borderId="0" xfId="0" applyFont="1" applyFill="1" applyAlignment="1">
      <alignment horizontal="right"/>
    </xf>
    <xf numFmtId="164" fontId="2" fillId="0" borderId="8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172" fontId="1" fillId="0" borderId="0" xfId="0" applyFont="1" applyAlignment="1">
      <alignment horizontal="right"/>
    </xf>
    <xf numFmtId="164" fontId="1" fillId="0" borderId="0" xfId="15" applyNumberFormat="1" applyFont="1" applyAlignment="1">
      <alignment horizontal="right"/>
    </xf>
    <xf numFmtId="164" fontId="2" fillId="0" borderId="0" xfId="15" applyNumberFormat="1" applyFont="1" applyBorder="1" applyAlignment="1">
      <alignment horizontal="right"/>
    </xf>
    <xf numFmtId="164" fontId="1" fillId="0" borderId="0" xfId="15" applyNumberFormat="1" applyFont="1" applyBorder="1" applyAlignment="1">
      <alignment horizontal="right"/>
    </xf>
    <xf numFmtId="172" fontId="7" fillId="0" borderId="0" xfId="0" applyFont="1" applyAlignment="1">
      <alignment/>
    </xf>
    <xf numFmtId="43" fontId="2" fillId="0" borderId="9" xfId="15" applyNumberFormat="1" applyFont="1" applyFill="1" applyBorder="1" applyAlignment="1">
      <alignment horizontal="right"/>
    </xf>
    <xf numFmtId="164" fontId="1" fillId="0" borderId="6" xfId="15" applyNumberFormat="1" applyFont="1" applyFill="1" applyBorder="1" applyAlignment="1">
      <alignment/>
    </xf>
    <xf numFmtId="164" fontId="2" fillId="0" borderId="6" xfId="15" applyNumberFormat="1" applyFont="1" applyFill="1" applyBorder="1" applyAlignment="1">
      <alignment/>
    </xf>
    <xf numFmtId="164" fontId="1" fillId="0" borderId="6" xfId="15" applyNumberFormat="1" applyFont="1" applyFill="1" applyBorder="1" applyAlignment="1">
      <alignment horizontal="center"/>
    </xf>
    <xf numFmtId="164" fontId="2" fillId="0" borderId="0" xfId="15" applyNumberFormat="1" applyFont="1" applyAlignment="1">
      <alignment horizontal="right"/>
    </xf>
    <xf numFmtId="164" fontId="1" fillId="0" borderId="8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172" fontId="1" fillId="0" borderId="0" xfId="0" applyFont="1" applyAlignment="1" quotePrefix="1">
      <alignment horizontal="right"/>
    </xf>
    <xf numFmtId="172" fontId="8" fillId="0" borderId="0" xfId="0" applyFont="1" applyAlignment="1">
      <alignment horizontal="left"/>
    </xf>
    <xf numFmtId="172" fontId="2" fillId="0" borderId="0" xfId="0" applyFont="1" applyAlignment="1">
      <alignment horizontal="center"/>
    </xf>
    <xf numFmtId="164" fontId="1" fillId="0" borderId="0" xfId="15" applyNumberFormat="1" applyFont="1" applyAlignment="1" quotePrefix="1">
      <alignment horizontal="right"/>
    </xf>
    <xf numFmtId="164" fontId="2" fillId="0" borderId="3" xfId="15" applyNumberFormat="1" applyFont="1" applyFill="1" applyBorder="1" applyAlignment="1">
      <alignment/>
    </xf>
    <xf numFmtId="172" fontId="3" fillId="0" borderId="0" xfId="0" applyFont="1" applyAlignment="1">
      <alignment horizontal="centerContinuous"/>
    </xf>
    <xf numFmtId="172" fontId="4" fillId="0" borderId="0" xfId="0" applyFont="1" applyAlignment="1">
      <alignment horizontal="centerContinuous"/>
    </xf>
    <xf numFmtId="172" fontId="1" fillId="0" borderId="0" xfId="0" applyFont="1" applyFill="1" applyAlignment="1">
      <alignment horizontal="centerContinuous"/>
    </xf>
    <xf numFmtId="172" fontId="3" fillId="0" borderId="0" xfId="0" applyFont="1" applyAlignment="1" quotePrefix="1">
      <alignment horizontal="centerContinuous"/>
    </xf>
    <xf numFmtId="172" fontId="5" fillId="0" borderId="0" xfId="0" applyFont="1" applyAlignment="1" quotePrefix="1">
      <alignment horizontal="centerContinuous"/>
    </xf>
    <xf numFmtId="172" fontId="7" fillId="0" borderId="0" xfId="0" applyFont="1" applyAlignment="1" quotePrefix="1">
      <alignment horizontal="left"/>
    </xf>
    <xf numFmtId="164" fontId="1" fillId="0" borderId="0" xfId="15" applyNumberFormat="1" applyFont="1" applyFill="1" applyAlignment="1">
      <alignment horizontal="centerContinuous"/>
    </xf>
    <xf numFmtId="164" fontId="1" fillId="0" borderId="0" xfId="15" applyNumberFormat="1" applyFont="1" applyFill="1" applyAlignment="1" quotePrefix="1">
      <alignment horizontal="centerContinuous"/>
    </xf>
    <xf numFmtId="164" fontId="1" fillId="0" borderId="0" xfId="15" applyNumberFormat="1" applyFont="1" applyFill="1" applyAlignment="1" quotePrefix="1">
      <alignment horizontal="right"/>
    </xf>
    <xf numFmtId="172" fontId="1" fillId="0" borderId="0" xfId="0" applyFont="1" applyFill="1" applyAlignment="1" quotePrefix="1">
      <alignment horizontal="right"/>
    </xf>
    <xf numFmtId="43" fontId="1" fillId="0" borderId="6" xfId="15" applyFont="1" applyFill="1" applyBorder="1" applyAlignment="1">
      <alignment/>
    </xf>
    <xf numFmtId="43" fontId="1" fillId="0" borderId="9" xfId="15" applyNumberFormat="1" applyFont="1" applyFill="1" applyBorder="1" applyAlignment="1">
      <alignment horizontal="right"/>
    </xf>
    <xf numFmtId="164" fontId="1" fillId="0" borderId="5" xfId="15" applyNumberFormat="1" applyFont="1" applyBorder="1" applyAlignment="1">
      <alignment/>
    </xf>
    <xf numFmtId="43" fontId="1" fillId="0" borderId="0" xfId="15" applyNumberFormat="1" applyFont="1" applyFill="1" applyBorder="1" applyAlignment="1">
      <alignment horizontal="right"/>
    </xf>
    <xf numFmtId="43" fontId="2" fillId="0" borderId="0" xfId="15" applyNumberFormat="1" applyFont="1" applyFill="1" applyBorder="1" applyAlignment="1">
      <alignment horizontal="right"/>
    </xf>
    <xf numFmtId="164" fontId="1" fillId="0" borderId="3" xfId="15" applyNumberFormat="1" applyFont="1" applyBorder="1" applyAlignment="1">
      <alignment horizontal="left"/>
    </xf>
    <xf numFmtId="172" fontId="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consol%20acc-1st%20quarter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acc-2nd%20quarter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coustech-1st%20Quartely%20Report%20June%202005-FORM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V-FPEQ"/>
      <sheetName val="JV-Musashi"/>
      <sheetName val="PROF OF MI"/>
      <sheetName val="CONSOL ADJ"/>
      <sheetName val="CONSOL-BS"/>
      <sheetName val="CONSOL-IS"/>
      <sheetName val="CONSOL-CF"/>
      <sheetName val="FPEQ-BS-6'2005"/>
      <sheetName val="FPC-BS-6'2005"/>
      <sheetName val="CONSOL-BS-FPT"/>
      <sheetName val="CONSOL-PL-FPT"/>
      <sheetName val="CONSOL-CF-FPT"/>
      <sheetName val="FPT-BS-3'2005"/>
      <sheetName val="FPT-PL-3'2005"/>
      <sheetName val="FPEQ-PL-6'2005"/>
      <sheetName val="FPC-PL-6'2005"/>
      <sheetName val="ACOU-BS-3'2005"/>
      <sheetName val="ACOU-PL-3'2005"/>
      <sheetName val="Working 1"/>
    </sheetNames>
    <sheetDataSet>
      <sheetData sheetId="4">
        <row r="61">
          <cell r="U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ic0905"/>
      <sheetName val="Diluted0905"/>
      <sheetName val="ROA"/>
      <sheetName val="JV-FPEQ"/>
      <sheetName val="JV-Musashi"/>
      <sheetName val="PROF OF MI"/>
      <sheetName val="CONSOL ADJ"/>
      <sheetName val="CONSOL-BS"/>
      <sheetName val="CONSOL-IS"/>
      <sheetName val="CONSOL-CF"/>
      <sheetName val="CONSOL-BS-FPT"/>
      <sheetName val="CONSOL-PL-FPT"/>
      <sheetName val="CONSOL-CF-FPT"/>
      <sheetName val="FPT-BS-9'2005"/>
      <sheetName val="FPT-PL-9'2005"/>
      <sheetName val="FPEQ-BS-9'2005"/>
      <sheetName val="FPEQ-PL-9'2005"/>
      <sheetName val="FPC-BS-9'2005"/>
      <sheetName val="FPC-PL-9'2005"/>
      <sheetName val="ACOU-BS-9'2005"/>
      <sheetName val="ACOU-PL-9'2005"/>
      <sheetName val="Working 1"/>
      <sheetName val="result"/>
    </sheetNames>
    <sheetDataSet>
      <sheetData sheetId="7">
        <row r="12">
          <cell r="U12">
            <v>49367536.9</v>
          </cell>
        </row>
        <row r="19">
          <cell r="U19">
            <v>14078066.14</v>
          </cell>
        </row>
        <row r="23">
          <cell r="U23">
            <v>3755629.71</v>
          </cell>
        </row>
        <row r="27">
          <cell r="U27">
            <v>26395535.91</v>
          </cell>
        </row>
        <row r="28">
          <cell r="U28">
            <v>83175754.23</v>
          </cell>
        </row>
        <row r="29">
          <cell r="U29">
            <v>9675498.1</v>
          </cell>
        </row>
        <row r="33">
          <cell r="U33">
            <v>2163994.2800000003</v>
          </cell>
        </row>
        <row r="35">
          <cell r="U35">
            <v>21065.57</v>
          </cell>
        </row>
        <row r="45">
          <cell r="U45">
            <v>17492220.98</v>
          </cell>
        </row>
        <row r="46">
          <cell r="U46">
            <v>16389759.869999997</v>
          </cell>
        </row>
        <row r="51">
          <cell r="U51">
            <v>50909844.91</v>
          </cell>
        </row>
        <row r="52">
          <cell r="U52">
            <v>5981424.06</v>
          </cell>
        </row>
        <row r="54">
          <cell r="U54">
            <v>281447.71</v>
          </cell>
        </row>
        <row r="64">
          <cell r="U64">
            <v>6744</v>
          </cell>
        </row>
        <row r="66">
          <cell r="U66">
            <v>10097000</v>
          </cell>
        </row>
        <row r="67">
          <cell r="U67">
            <v>2707170</v>
          </cell>
        </row>
        <row r="76">
          <cell r="U76">
            <v>82752500</v>
          </cell>
        </row>
        <row r="82">
          <cell r="U82">
            <v>5877367.56</v>
          </cell>
        </row>
        <row r="89">
          <cell r="U89">
            <v>762220.0141526603</v>
          </cell>
        </row>
        <row r="92">
          <cell r="U92">
            <v>55159256.78709995</v>
          </cell>
        </row>
        <row r="96">
          <cell r="U96">
            <v>4908630.68874734</v>
          </cell>
        </row>
        <row r="101">
          <cell r="U101">
            <v>3456</v>
          </cell>
        </row>
        <row r="103">
          <cell r="U103">
            <v>3068000</v>
          </cell>
        </row>
      </sheetData>
      <sheetData sheetId="8">
        <row r="9">
          <cell r="U9">
            <v>161391404.26999998</v>
          </cell>
        </row>
        <row r="28">
          <cell r="U28">
            <v>194490.32</v>
          </cell>
        </row>
        <row r="31">
          <cell r="U31">
            <v>9825523.522499949</v>
          </cell>
        </row>
        <row r="47">
          <cell r="U47">
            <v>859927.2400000001</v>
          </cell>
        </row>
        <row r="51">
          <cell r="U51">
            <v>5054976</v>
          </cell>
        </row>
        <row r="54">
          <cell r="U54">
            <v>15740426.762499949</v>
          </cell>
        </row>
        <row r="62">
          <cell r="U62">
            <v>-4311558.36</v>
          </cell>
        </row>
        <row r="66">
          <cell r="U66">
            <v>-210566.6653999999</v>
          </cell>
        </row>
      </sheetData>
      <sheetData sheetId="9">
        <row r="10">
          <cell r="Y10">
            <v>15740426.799999978</v>
          </cell>
        </row>
        <row r="14">
          <cell r="Y14">
            <v>2005045.7800000003</v>
          </cell>
        </row>
        <row r="16">
          <cell r="Y16">
            <v>-20864</v>
          </cell>
        </row>
        <row r="18">
          <cell r="Y18">
            <v>21116</v>
          </cell>
        </row>
        <row r="19">
          <cell r="Y19">
            <v>183866.58000000002</v>
          </cell>
        </row>
        <row r="22">
          <cell r="Y22">
            <v>-5054976</v>
          </cell>
        </row>
        <row r="23">
          <cell r="Y23">
            <v>-112228.92</v>
          </cell>
        </row>
        <row r="25">
          <cell r="Y25">
            <v>39.78</v>
          </cell>
        </row>
        <row r="33">
          <cell r="Y33">
            <v>-677489.9100000001</v>
          </cell>
        </row>
        <row r="34">
          <cell r="Y34">
            <v>-15584865.229999999</v>
          </cell>
        </row>
        <row r="35">
          <cell r="Y35">
            <v>-8995218.1</v>
          </cell>
        </row>
        <row r="36">
          <cell r="Y36">
            <v>22015634.91</v>
          </cell>
        </row>
        <row r="37">
          <cell r="Y37">
            <v>5577355.14</v>
          </cell>
        </row>
        <row r="40">
          <cell r="Y40">
            <v>-1376188.94</v>
          </cell>
        </row>
        <row r="44">
          <cell r="Y44">
            <v>-178414.22999999998</v>
          </cell>
        </row>
        <row r="46">
          <cell r="Y46">
            <v>-2174880</v>
          </cell>
        </row>
        <row r="53">
          <cell r="Y53">
            <v>112228.92</v>
          </cell>
        </row>
        <row r="56">
          <cell r="Y56">
            <v>610</v>
          </cell>
        </row>
        <row r="58">
          <cell r="Y58">
            <v>-408276.25</v>
          </cell>
        </row>
        <row r="69">
          <cell r="Y69">
            <v>1839000</v>
          </cell>
        </row>
        <row r="70">
          <cell r="Y70">
            <v>-910</v>
          </cell>
        </row>
        <row r="73">
          <cell r="Y73">
            <v>1860625</v>
          </cell>
        </row>
        <row r="81">
          <cell r="Y81">
            <v>-5672625</v>
          </cell>
        </row>
        <row r="85">
          <cell r="Y85">
            <v>-186671.74</v>
          </cell>
        </row>
        <row r="86">
          <cell r="Y86">
            <v>-5460</v>
          </cell>
        </row>
        <row r="87">
          <cell r="Y87">
            <v>-4542.35</v>
          </cell>
        </row>
        <row r="94">
          <cell r="Y94">
            <v>8902338.23999998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"/>
      <sheetName val="equity"/>
      <sheetName val="cash flow"/>
    </sheetNames>
    <sheetDataSet>
      <sheetData sheetId="1">
        <row r="17">
          <cell r="D17">
            <v>72850.69496</v>
          </cell>
        </row>
        <row r="19">
          <cell r="D19">
            <v>-68521.16398</v>
          </cell>
        </row>
        <row r="21">
          <cell r="D21">
            <v>250.46902</v>
          </cell>
        </row>
        <row r="25">
          <cell r="D25">
            <v>-114.03382</v>
          </cell>
        </row>
        <row r="27">
          <cell r="D27">
            <v>2234.2135</v>
          </cell>
        </row>
        <row r="29">
          <cell r="D29">
            <v>6700</v>
          </cell>
        </row>
        <row r="31">
          <cell r="D31">
            <v>-1934.57978</v>
          </cell>
        </row>
        <row r="35">
          <cell r="D35">
            <v>-91.99663538799904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zoomScale="75" zoomScaleNormal="75" workbookViewId="0" topLeftCell="A1">
      <selection activeCell="A1" sqref="A1:A2"/>
    </sheetView>
  </sheetViews>
  <sheetFormatPr defaultColWidth="9.140625" defaultRowHeight="12.75"/>
  <cols>
    <col min="1" max="1" width="2.7109375" style="2" customWidth="1"/>
    <col min="2" max="2" width="44.28125" style="2" customWidth="1"/>
    <col min="3" max="3" width="0.42578125" style="2" customWidth="1"/>
    <col min="4" max="4" width="15.28125" style="45" customWidth="1"/>
    <col min="5" max="5" width="1.1484375" style="3" customWidth="1"/>
    <col min="6" max="6" width="15.28125" style="3" customWidth="1"/>
    <col min="7" max="7" width="1.1484375" style="2" customWidth="1"/>
    <col min="8" max="8" width="17.140625" style="3" customWidth="1"/>
    <col min="9" max="16384" width="9.140625" style="2" customWidth="1"/>
  </cols>
  <sheetData>
    <row r="1" spans="1:8" ht="19.5" customHeight="1">
      <c r="A1" s="19" t="s">
        <v>129</v>
      </c>
      <c r="B1" s="76"/>
      <c r="C1" s="76"/>
      <c r="D1" s="76"/>
      <c r="E1" s="76"/>
      <c r="F1" s="76"/>
      <c r="G1" s="76"/>
      <c r="H1" s="5"/>
    </row>
    <row r="2" spans="1:8" ht="11.25" customHeight="1">
      <c r="A2" s="91" t="s">
        <v>130</v>
      </c>
      <c r="B2" s="91"/>
      <c r="C2" s="76"/>
      <c r="D2" s="76"/>
      <c r="E2" s="76"/>
      <c r="F2" s="76"/>
      <c r="G2" s="76"/>
      <c r="H2" s="5"/>
    </row>
    <row r="3" ht="11.25" customHeight="1">
      <c r="H3" s="5"/>
    </row>
    <row r="4" spans="1:8" ht="14.25">
      <c r="A4" s="36" t="s">
        <v>117</v>
      </c>
      <c r="H4" s="5"/>
    </row>
    <row r="5" spans="1:8" ht="12.75">
      <c r="A5" s="37" t="s">
        <v>0</v>
      </c>
      <c r="H5" s="5"/>
    </row>
    <row r="6" ht="12.75">
      <c r="H6" s="5"/>
    </row>
    <row r="7" spans="1:8" ht="12.75">
      <c r="A7" s="19" t="s">
        <v>1</v>
      </c>
      <c r="H7" s="5"/>
    </row>
    <row r="8" spans="2:8" s="53" customFormat="1" ht="12.75">
      <c r="B8" s="58"/>
      <c r="D8" s="73" t="s">
        <v>118</v>
      </c>
      <c r="E8" s="59"/>
      <c r="F8" s="73" t="s">
        <v>102</v>
      </c>
      <c r="H8" s="60"/>
    </row>
    <row r="9" spans="4:8" s="53" customFormat="1" ht="12.75">
      <c r="D9" s="59" t="s">
        <v>2</v>
      </c>
      <c r="E9" s="59"/>
      <c r="F9" s="59" t="s">
        <v>2</v>
      </c>
      <c r="G9" s="58"/>
      <c r="H9" s="61"/>
    </row>
    <row r="10" spans="2:8" ht="12.75">
      <c r="B10" s="1"/>
      <c r="H10" s="5"/>
    </row>
    <row r="11" spans="2:8" ht="12.75">
      <c r="B11" s="2" t="s">
        <v>3</v>
      </c>
      <c r="D11" s="45">
        <f>+'[2]CONSOL-BS'!$U$12/1000</f>
        <v>49367.5369</v>
      </c>
      <c r="F11" s="3">
        <v>50986</v>
      </c>
      <c r="H11" s="5"/>
    </row>
    <row r="12" spans="2:8" ht="12.75">
      <c r="B12" s="13" t="s">
        <v>4</v>
      </c>
      <c r="D12" s="45">
        <f>+'[2]CONSOL-BS'!$U$19/1000</f>
        <v>14078.06614</v>
      </c>
      <c r="F12" s="3">
        <v>10464</v>
      </c>
      <c r="H12" s="5"/>
    </row>
    <row r="13" spans="2:8" ht="12.75">
      <c r="B13" s="13" t="s">
        <v>5</v>
      </c>
      <c r="D13" s="45">
        <f>+'[2]CONSOL-BS'!$U$23/1000</f>
        <v>3755.62971</v>
      </c>
      <c r="F13" s="3">
        <v>3756</v>
      </c>
      <c r="H13" s="5"/>
    </row>
    <row r="14" ht="9.75" customHeight="1">
      <c r="H14" s="5"/>
    </row>
    <row r="15" spans="2:8" ht="12.75">
      <c r="B15" s="2" t="s">
        <v>6</v>
      </c>
      <c r="H15" s="5"/>
    </row>
    <row r="16" spans="2:8" ht="12.75">
      <c r="B16" s="2" t="s">
        <v>7</v>
      </c>
      <c r="D16" s="46">
        <f>+'[2]CONSOL-BS'!$U$27/1000-1</f>
        <v>26394.53591</v>
      </c>
      <c r="E16" s="5"/>
      <c r="F16" s="7">
        <v>25718</v>
      </c>
      <c r="H16" s="5"/>
    </row>
    <row r="17" spans="2:8" ht="12.75">
      <c r="B17" s="2" t="s">
        <v>8</v>
      </c>
      <c r="D17" s="47">
        <f>+'[2]CONSOL-BS'!$U$28/1000</f>
        <v>83175.75423</v>
      </c>
      <c r="E17" s="5"/>
      <c r="F17" s="8">
        <v>65111</v>
      </c>
      <c r="H17" s="5"/>
    </row>
    <row r="18" spans="2:8" ht="12.75">
      <c r="B18" s="2" t="s">
        <v>9</v>
      </c>
      <c r="D18" s="47">
        <f>+'[2]CONSOL-BS'!$U$29/1000</f>
        <v>9675.498099999999</v>
      </c>
      <c r="E18" s="5"/>
      <c r="F18" s="8">
        <v>655</v>
      </c>
      <c r="H18" s="5"/>
    </row>
    <row r="19" spans="2:8" ht="12.75">
      <c r="B19" s="13" t="s">
        <v>127</v>
      </c>
      <c r="D19" s="47">
        <f>+'[2]CONSOL-BS'!$U$35/1000</f>
        <v>21.06557</v>
      </c>
      <c r="E19" s="5"/>
      <c r="F19" s="8">
        <v>8896</v>
      </c>
      <c r="H19" s="5"/>
    </row>
    <row r="20" spans="2:8" ht="12.75">
      <c r="B20" s="2" t="s">
        <v>10</v>
      </c>
      <c r="D20" s="47">
        <f>+'[2]CONSOL-BS'!$U$33/1000</f>
        <v>2163.9942800000003</v>
      </c>
      <c r="E20" s="5"/>
      <c r="F20" s="8">
        <v>2038</v>
      </c>
      <c r="H20" s="5"/>
    </row>
    <row r="21" spans="2:8" ht="12.75">
      <c r="B21" s="2" t="s">
        <v>11</v>
      </c>
      <c r="D21" s="47">
        <f>+'[2]CONSOL-BS'!$U$45/1000</f>
        <v>17492.220980000002</v>
      </c>
      <c r="E21" s="5"/>
      <c r="F21" s="8">
        <v>14543</v>
      </c>
      <c r="H21" s="5"/>
    </row>
    <row r="22" spans="2:8" ht="12.75">
      <c r="B22" s="2" t="s">
        <v>12</v>
      </c>
      <c r="D22" s="48">
        <f>+'[2]CONSOL-BS'!$U$46/1000</f>
        <v>16389.759869999998</v>
      </c>
      <c r="E22" s="5"/>
      <c r="F22" s="9">
        <v>10558</v>
      </c>
      <c r="H22" s="5"/>
    </row>
    <row r="23" spans="4:8" ht="12.75">
      <c r="D23" s="48">
        <f>SUM(D16:D22)</f>
        <v>155312.82894</v>
      </c>
      <c r="E23" s="5"/>
      <c r="F23" s="9">
        <f>SUM(F16:F22)</f>
        <v>127519</v>
      </c>
      <c r="H23" s="5"/>
    </row>
    <row r="24" ht="12.75" customHeight="1">
      <c r="H24" s="5"/>
    </row>
    <row r="25" spans="2:8" ht="12.75">
      <c r="B25" s="2" t="s">
        <v>13</v>
      </c>
      <c r="E25" s="5"/>
      <c r="F25" s="6"/>
      <c r="H25" s="5"/>
    </row>
    <row r="26" spans="2:8" ht="12.75">
      <c r="B26" s="2" t="s">
        <v>14</v>
      </c>
      <c r="D26" s="46">
        <f>+'[2]CONSOL-BS'!$U$51/1000+1</f>
        <v>50910.84491</v>
      </c>
      <c r="E26" s="5"/>
      <c r="F26" s="7">
        <v>27549</v>
      </c>
      <c r="H26" s="5"/>
    </row>
    <row r="27" spans="2:8" ht="12.75">
      <c r="B27" s="2" t="s">
        <v>15</v>
      </c>
      <c r="D27" s="47">
        <f>+'[2]CONSOL-BS'!$U$52/1000</f>
        <v>5981.424059999999</v>
      </c>
      <c r="E27" s="5"/>
      <c r="F27" s="8">
        <v>7364</v>
      </c>
      <c r="H27" s="5"/>
    </row>
    <row r="28" spans="2:8" ht="12.75">
      <c r="B28" s="13" t="s">
        <v>128</v>
      </c>
      <c r="D28" s="47">
        <f>+'[2]CONSOL-BS'!$U$54/1000</f>
        <v>281.44771000000003</v>
      </c>
      <c r="E28" s="5"/>
      <c r="F28" s="8">
        <v>2411</v>
      </c>
      <c r="H28" s="5"/>
    </row>
    <row r="29" spans="2:8" ht="12.75">
      <c r="B29" s="2" t="s">
        <v>16</v>
      </c>
      <c r="D29" s="90">
        <f>(+'[2]CONSOL-BS'!$U$64+'[2]CONSOL-BS'!$U$66)/1000</f>
        <v>10103.744</v>
      </c>
      <c r="E29" s="5"/>
      <c r="F29" s="74">
        <v>8577</v>
      </c>
      <c r="H29" s="5"/>
    </row>
    <row r="30" spans="2:8" ht="12.75">
      <c r="B30" s="2" t="s">
        <v>17</v>
      </c>
      <c r="D30" s="47">
        <f>+'[1]CONSOL-BS'!$U$61/1000</f>
        <v>0</v>
      </c>
      <c r="E30" s="5"/>
      <c r="F30" s="74">
        <v>5673</v>
      </c>
      <c r="H30" s="5"/>
    </row>
    <row r="31" spans="2:8" ht="12.75">
      <c r="B31" s="13" t="s">
        <v>86</v>
      </c>
      <c r="D31" s="48">
        <f>+'[2]CONSOL-BS'!$U$67/1000</f>
        <v>2707.17</v>
      </c>
      <c r="E31" s="5"/>
      <c r="F31" s="35">
        <v>1650</v>
      </c>
      <c r="H31" s="5"/>
    </row>
    <row r="32" spans="4:8" ht="12.75">
      <c r="D32" s="48">
        <f>SUM(D26:D31)-1</f>
        <v>69983.63068</v>
      </c>
      <c r="E32" s="5"/>
      <c r="F32" s="9">
        <f>SUM(F26:F31)</f>
        <v>53224</v>
      </c>
      <c r="H32" s="5"/>
    </row>
    <row r="33" ht="3.75" customHeight="1">
      <c r="H33" s="5"/>
    </row>
    <row r="34" spans="2:8" ht="15" customHeight="1">
      <c r="B34" s="2" t="s">
        <v>18</v>
      </c>
      <c r="D34" s="49">
        <f>+D23-D32</f>
        <v>85329.19826</v>
      </c>
      <c r="E34" s="5"/>
      <c r="F34" s="6">
        <f>+F23-F32</f>
        <v>74295</v>
      </c>
      <c r="H34" s="5"/>
    </row>
    <row r="35" spans="4:8" ht="15" customHeight="1" thickBot="1">
      <c r="D35" s="87">
        <f>+D34+D11+D12+D13+1</f>
        <v>152531.43101000003</v>
      </c>
      <c r="E35" s="5"/>
      <c r="F35" s="10">
        <f>+F34+F11+F12+F13</f>
        <v>139501</v>
      </c>
      <c r="H35" s="5"/>
    </row>
    <row r="36" ht="13.5" thickTop="1">
      <c r="H36" s="5"/>
    </row>
    <row r="37" ht="0.75" customHeight="1">
      <c r="H37" s="5"/>
    </row>
    <row r="38" spans="2:8" ht="12.75">
      <c r="B38" s="1" t="s">
        <v>19</v>
      </c>
      <c r="H38" s="5"/>
    </row>
    <row r="39" spans="2:8" ht="12.75">
      <c r="B39" s="2" t="s">
        <v>20</v>
      </c>
      <c r="D39" s="45">
        <f>+'[2]CONSOL-BS'!$U$76/1000</f>
        <v>82752.5</v>
      </c>
      <c r="E39" s="5"/>
      <c r="F39" s="3">
        <v>81264</v>
      </c>
      <c r="H39" s="5"/>
    </row>
    <row r="40" spans="5:8" ht="7.5" customHeight="1">
      <c r="E40" s="5"/>
      <c r="H40" s="5"/>
    </row>
    <row r="41" spans="2:8" ht="12.75">
      <c r="B41" s="2" t="s">
        <v>21</v>
      </c>
      <c r="D41" s="46"/>
      <c r="E41" s="5"/>
      <c r="F41" s="7"/>
      <c r="H41" s="5"/>
    </row>
    <row r="42" spans="2:8" ht="12.75">
      <c r="B42" s="13" t="s">
        <v>22</v>
      </c>
      <c r="D42" s="47">
        <f>+'[2]CONSOL-BS'!$U$92/1000</f>
        <v>55159.25678709995</v>
      </c>
      <c r="E42" s="5"/>
      <c r="F42" s="8">
        <v>43941</v>
      </c>
      <c r="H42" s="5"/>
    </row>
    <row r="43" spans="2:8" ht="12.75">
      <c r="B43" s="2" t="s">
        <v>23</v>
      </c>
      <c r="D43" s="47">
        <f>+'[2]CONSOL-BS'!$U$82/1000</f>
        <v>5877.36756</v>
      </c>
      <c r="E43" s="5"/>
      <c r="F43" s="8">
        <v>5505</v>
      </c>
      <c r="H43" s="5"/>
    </row>
    <row r="44" spans="2:8" ht="12.75">
      <c r="B44" s="13" t="s">
        <v>24</v>
      </c>
      <c r="D44" s="48">
        <f>+'[2]CONSOL-BS'!$U$89/1000</f>
        <v>762.2200141526603</v>
      </c>
      <c r="E44" s="5"/>
      <c r="F44" s="9">
        <v>783</v>
      </c>
      <c r="H44" s="5"/>
    </row>
    <row r="45" spans="4:8" ht="12.75">
      <c r="D45" s="50">
        <f>SUM(D42:D44)-1</f>
        <v>61797.84436125261</v>
      </c>
      <c r="E45" s="5"/>
      <c r="F45" s="34">
        <f>SUM(F42:F44)</f>
        <v>50229</v>
      </c>
      <c r="H45" s="5"/>
    </row>
    <row r="46" spans="2:8" ht="15" customHeight="1">
      <c r="B46" s="13" t="s">
        <v>25</v>
      </c>
      <c r="D46" s="51">
        <f>+D45+D39+1</f>
        <v>144551.34436125262</v>
      </c>
      <c r="E46" s="5"/>
      <c r="F46" s="5">
        <f>+F45+F39</f>
        <v>131493</v>
      </c>
      <c r="H46" s="5"/>
    </row>
    <row r="47" spans="2:8" ht="15" customHeight="1">
      <c r="B47" s="15" t="s">
        <v>26</v>
      </c>
      <c r="D47" s="45">
        <f>+'[2]CONSOL-BS'!$U$96/1000</f>
        <v>4908.63068874734</v>
      </c>
      <c r="E47" s="5"/>
      <c r="F47" s="5">
        <v>4698</v>
      </c>
      <c r="H47" s="5"/>
    </row>
    <row r="48" spans="2:8" ht="12.75">
      <c r="B48" s="2" t="s">
        <v>27</v>
      </c>
      <c r="H48" s="5"/>
    </row>
    <row r="49" spans="2:8" ht="12.75">
      <c r="B49" s="2" t="s">
        <v>28</v>
      </c>
      <c r="D49" s="44">
        <f>+'[2]CONSOL-BS'!$U$101/1000</f>
        <v>3.456</v>
      </c>
      <c r="F49" s="18">
        <v>7</v>
      </c>
      <c r="H49" s="5"/>
    </row>
    <row r="50" spans="2:8" ht="12.75">
      <c r="B50" s="2" t="s">
        <v>29</v>
      </c>
      <c r="D50" s="45">
        <f>+'[2]CONSOL-BS'!$U$103/1000</f>
        <v>3068</v>
      </c>
      <c r="F50" s="3">
        <v>3303</v>
      </c>
      <c r="H50" s="5" t="s">
        <v>106</v>
      </c>
    </row>
    <row r="51" spans="4:8" ht="13.5" thickBot="1">
      <c r="D51" s="87">
        <f>SUM(D46:D50)</f>
        <v>152531.43104999996</v>
      </c>
      <c r="E51" s="5"/>
      <c r="F51" s="10">
        <f>SUM(F46:F50)</f>
        <v>139501</v>
      </c>
      <c r="H51" s="5"/>
    </row>
    <row r="52" ht="8.25" customHeight="1" thickTop="1">
      <c r="H52" s="5"/>
    </row>
    <row r="53" spans="2:8" ht="12.75">
      <c r="B53" s="2" t="s">
        <v>30</v>
      </c>
      <c r="D53" s="52">
        <f>+D46/(D39*2)</f>
        <v>0.8733956337346462</v>
      </c>
      <c r="E53" s="11"/>
      <c r="F53" s="11">
        <f>+F46/(F39*2)</f>
        <v>0.8090482870643827</v>
      </c>
      <c r="H53" s="5"/>
    </row>
    <row r="54" spans="4:8" ht="12.75">
      <c r="D54" s="52"/>
      <c r="E54" s="11"/>
      <c r="F54" s="11"/>
      <c r="H54" s="5"/>
    </row>
    <row r="55" spans="4:8" ht="12.75">
      <c r="D55" s="52"/>
      <c r="E55" s="11"/>
      <c r="F55" s="11"/>
      <c r="H55" s="5"/>
    </row>
    <row r="56" spans="2:8" ht="12.75" hidden="1">
      <c r="B56" s="13" t="s">
        <v>99</v>
      </c>
      <c r="D56" s="11"/>
      <c r="E56" s="11"/>
      <c r="F56" s="11"/>
      <c r="H56" s="5"/>
    </row>
    <row r="57" spans="2:8" ht="12.75" hidden="1">
      <c r="B57" s="2" t="s">
        <v>98</v>
      </c>
      <c r="D57" s="11"/>
      <c r="E57" s="11"/>
      <c r="F57" s="11"/>
      <c r="H57" s="5"/>
    </row>
    <row r="58" spans="2:8" ht="12.75" hidden="1">
      <c r="B58" s="13" t="s">
        <v>100</v>
      </c>
      <c r="D58" s="11"/>
      <c r="E58" s="11"/>
      <c r="F58" s="11"/>
      <c r="H58" s="5"/>
    </row>
    <row r="59" ht="12.75" hidden="1">
      <c r="H59" s="5"/>
    </row>
    <row r="60" spans="2:8" ht="12.75">
      <c r="B60" s="80" t="s">
        <v>114</v>
      </c>
      <c r="H60" s="5"/>
    </row>
    <row r="61" spans="2:8" ht="12.75">
      <c r="B61" s="62" t="s">
        <v>31</v>
      </c>
      <c r="H61" s="5"/>
    </row>
    <row r="62" ht="12.75">
      <c r="D62" s="52"/>
    </row>
    <row r="65" ht="12.75">
      <c r="D65" s="44"/>
    </row>
  </sheetData>
  <printOptions/>
  <pageMargins left="1.3" right="0.5" top="0.88" bottom="0.5" header="0.25" footer="0.25"/>
  <pageSetup horizontalDpi="180" verticalDpi="180" orientation="portrait" scale="95" r:id="rId1"/>
  <headerFooter alignWithMargins="0">
    <oddFooter>&amp;C&amp;"Times New Roman,Italic"&amp;8- Page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3"/>
  <sheetViews>
    <sheetView zoomScale="75" zoomScaleNormal="75" workbookViewId="0" topLeftCell="A1">
      <selection activeCell="A1" sqref="A1:A2"/>
    </sheetView>
  </sheetViews>
  <sheetFormatPr defaultColWidth="9.140625" defaultRowHeight="12.75"/>
  <cols>
    <col min="1" max="1" width="3.00390625" style="2" customWidth="1"/>
    <col min="2" max="2" width="36.140625" style="2" customWidth="1"/>
    <col min="3" max="3" width="0.5625" style="2" customWidth="1"/>
    <col min="4" max="4" width="12.7109375" style="18" customWidth="1"/>
    <col min="5" max="5" width="0.85546875" style="17" customWidth="1"/>
    <col min="6" max="6" width="12.7109375" style="18" customWidth="1"/>
    <col min="7" max="7" width="0.85546875" style="17" customWidth="1"/>
    <col min="8" max="8" width="12.7109375" style="17" customWidth="1"/>
    <col min="9" max="9" width="0.85546875" style="17" customWidth="1"/>
    <col min="10" max="10" width="12.7109375" style="18" customWidth="1"/>
    <col min="11" max="11" width="0.85546875" style="2" customWidth="1"/>
    <col min="12" max="16384" width="9.140625" style="2" customWidth="1"/>
  </cols>
  <sheetData>
    <row r="1" spans="1:10" ht="18.75">
      <c r="A1" s="19" t="s">
        <v>129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2.75">
      <c r="A2" s="91" t="s">
        <v>130</v>
      </c>
      <c r="B2" s="79"/>
      <c r="C2" s="79"/>
      <c r="D2" s="79"/>
      <c r="E2" s="79"/>
      <c r="F2" s="79"/>
      <c r="G2" s="79"/>
      <c r="H2" s="79"/>
      <c r="I2" s="79"/>
      <c r="J2" s="79"/>
    </row>
    <row r="4" ht="14.25">
      <c r="A4" s="36" t="str">
        <f>+'balance sheet'!A4</f>
        <v>Second quarter interim report for the financial period ended 30 September 2005</v>
      </c>
    </row>
    <row r="5" ht="12.75">
      <c r="A5" s="37" t="s">
        <v>0</v>
      </c>
    </row>
    <row r="6" spans="4:8" ht="12.75">
      <c r="D6" s="29"/>
      <c r="H6" s="20"/>
    </row>
    <row r="7" spans="1:8" ht="12.75">
      <c r="A7" s="19" t="s">
        <v>32</v>
      </c>
      <c r="D7" s="29"/>
      <c r="H7" s="20"/>
    </row>
    <row r="8" spans="4:8" ht="12.75">
      <c r="D8" s="29"/>
      <c r="F8" s="2"/>
      <c r="H8" s="20"/>
    </row>
    <row r="9" spans="4:10" ht="12.75">
      <c r="D9" s="82" t="s">
        <v>33</v>
      </c>
      <c r="E9" s="81"/>
      <c r="F9" s="81"/>
      <c r="G9" s="30"/>
      <c r="H9" s="77" t="s">
        <v>34</v>
      </c>
      <c r="I9" s="77"/>
      <c r="J9" s="77"/>
    </row>
    <row r="10" spans="4:10" s="53" customFormat="1" ht="12.75">
      <c r="D10" s="54" t="s">
        <v>35</v>
      </c>
      <c r="E10" s="55"/>
      <c r="F10" s="54" t="s">
        <v>36</v>
      </c>
      <c r="G10" s="55"/>
      <c r="H10" s="55" t="s">
        <v>35</v>
      </c>
      <c r="I10" s="55"/>
      <c r="J10" s="54" t="s">
        <v>36</v>
      </c>
    </row>
    <row r="11" spans="4:10" s="53" customFormat="1" ht="12.75">
      <c r="D11" s="54" t="s">
        <v>37</v>
      </c>
      <c r="E11" s="55"/>
      <c r="F11" s="54" t="s">
        <v>38</v>
      </c>
      <c r="G11" s="55"/>
      <c r="H11" s="55" t="s">
        <v>37</v>
      </c>
      <c r="I11" s="55"/>
      <c r="J11" s="54" t="s">
        <v>39</v>
      </c>
    </row>
    <row r="12" spans="4:10" s="53" customFormat="1" ht="12.75">
      <c r="D12" s="54" t="s">
        <v>40</v>
      </c>
      <c r="E12" s="55"/>
      <c r="F12" s="54" t="s">
        <v>40</v>
      </c>
      <c r="G12" s="55"/>
      <c r="H12" s="55" t="s">
        <v>41</v>
      </c>
      <c r="I12" s="55"/>
      <c r="J12" s="54" t="s">
        <v>42</v>
      </c>
    </row>
    <row r="13" spans="4:10" ht="12.75">
      <c r="D13" s="22"/>
      <c r="E13" s="21"/>
      <c r="F13" s="22"/>
      <c r="G13" s="21"/>
      <c r="H13" s="21"/>
      <c r="I13" s="21"/>
      <c r="J13" s="22"/>
    </row>
    <row r="14" spans="4:10" s="53" customFormat="1" ht="12.75">
      <c r="D14" s="83" t="str">
        <f>+H14</f>
        <v>30/9/05</v>
      </c>
      <c r="E14" s="55"/>
      <c r="F14" s="83" t="s">
        <v>119</v>
      </c>
      <c r="G14" s="55"/>
      <c r="H14" s="84" t="s">
        <v>118</v>
      </c>
      <c r="I14" s="55"/>
      <c r="J14" s="83" t="str">
        <f>+F14</f>
        <v>30/9/04</v>
      </c>
    </row>
    <row r="15" spans="4:10" s="53" customFormat="1" ht="12.75">
      <c r="D15" s="54" t="s">
        <v>2</v>
      </c>
      <c r="E15" s="55"/>
      <c r="F15" s="54" t="s">
        <v>2</v>
      </c>
      <c r="G15" s="55"/>
      <c r="H15" s="54" t="s">
        <v>2</v>
      </c>
      <c r="I15" s="55"/>
      <c r="J15" s="54" t="s">
        <v>2</v>
      </c>
    </row>
    <row r="16" spans="4:10" ht="12.75">
      <c r="D16" s="31"/>
      <c r="E16" s="23"/>
      <c r="F16" s="31"/>
      <c r="G16" s="23"/>
      <c r="H16" s="23"/>
      <c r="I16" s="23"/>
      <c r="J16" s="31"/>
    </row>
    <row r="17" spans="2:10" ht="12.75">
      <c r="B17" s="2" t="s">
        <v>43</v>
      </c>
      <c r="D17" s="38">
        <f>+H17-'[3]income stat'!$D$17-1</f>
        <v>88539.70930999998</v>
      </c>
      <c r="E17" s="32"/>
      <c r="F17" s="24">
        <v>68330</v>
      </c>
      <c r="G17" s="32"/>
      <c r="H17" s="38">
        <f>+'[2]CONSOL-IS'!$U$9/1000</f>
        <v>161391.40426999997</v>
      </c>
      <c r="I17" s="32"/>
      <c r="J17" s="24">
        <v>133789</v>
      </c>
    </row>
    <row r="18" spans="4:10" ht="12.75">
      <c r="D18" s="39"/>
      <c r="E18" s="28"/>
      <c r="F18" s="25"/>
      <c r="G18" s="28"/>
      <c r="H18" s="39"/>
      <c r="I18" s="28"/>
      <c r="J18" s="25"/>
    </row>
    <row r="19" spans="2:10" ht="12.75">
      <c r="B19" s="2" t="s">
        <v>44</v>
      </c>
      <c r="D19" s="40">
        <f>+H19-'[3]income stat'!$D$19</f>
        <v>-82850.22644750001</v>
      </c>
      <c r="E19" s="28"/>
      <c r="F19" s="33">
        <v>-62679</v>
      </c>
      <c r="G19" s="28"/>
      <c r="H19" s="40">
        <f>+H23-H21-H17</f>
        <v>-151371.3904275</v>
      </c>
      <c r="I19" s="28"/>
      <c r="J19" s="33">
        <v>-122707</v>
      </c>
    </row>
    <row r="20" spans="4:10" ht="12.75">
      <c r="D20" s="40"/>
      <c r="E20" s="28"/>
      <c r="F20" s="33"/>
      <c r="G20" s="28"/>
      <c r="H20" s="38"/>
      <c r="I20" s="28"/>
      <c r="J20" s="33"/>
    </row>
    <row r="21" spans="1:10" ht="12.75">
      <c r="A21" s="4"/>
      <c r="B21" s="2" t="s">
        <v>45</v>
      </c>
      <c r="D21" s="41">
        <f>+H21-'[3]income stat'!$D$21+1</f>
        <v>610.4582200000001</v>
      </c>
      <c r="E21" s="28"/>
      <c r="F21" s="26">
        <v>399</v>
      </c>
      <c r="G21" s="28"/>
      <c r="H21" s="43">
        <f>+'[2]CONSOL-IS'!$U$47/1000</f>
        <v>859.9272400000001</v>
      </c>
      <c r="I21" s="28"/>
      <c r="J21" s="26">
        <v>879</v>
      </c>
    </row>
    <row r="22" spans="2:10" ht="12.75">
      <c r="B22" s="2" t="s">
        <v>46</v>
      </c>
      <c r="D22" s="39"/>
      <c r="F22" s="25"/>
      <c r="H22" s="44"/>
      <c r="J22" s="25"/>
    </row>
    <row r="23" spans="2:10" ht="12.75">
      <c r="B23" s="13" t="s">
        <v>47</v>
      </c>
      <c r="D23" s="39">
        <f>+D17+D19+D21</f>
        <v>6299.941082499965</v>
      </c>
      <c r="F23" s="25">
        <v>6050</v>
      </c>
      <c r="H23" s="39">
        <f>(+'[2]CONSOL-IS'!$U$31+'[2]CONSOL-IS'!$U$28+'[2]CONSOL-IS'!$U$47)/1000</f>
        <v>10879.941082499949</v>
      </c>
      <c r="J23" s="25">
        <v>11961</v>
      </c>
    </row>
    <row r="24" spans="4:10" ht="12.75">
      <c r="D24" s="39"/>
      <c r="F24" s="25"/>
      <c r="H24" s="44"/>
      <c r="J24" s="25"/>
    </row>
    <row r="25" spans="2:59" ht="12.75">
      <c r="B25" s="13" t="s">
        <v>48</v>
      </c>
      <c r="D25" s="39">
        <f>+H25-'[3]income stat'!$D$25</f>
        <v>-80.45649999999999</v>
      </c>
      <c r="E25" s="28"/>
      <c r="F25" s="25">
        <v>-236</v>
      </c>
      <c r="G25" s="28"/>
      <c r="H25" s="38">
        <f>-'[2]CONSOL-IS'!$U$28/1000</f>
        <v>-194.49032</v>
      </c>
      <c r="I25" s="28"/>
      <c r="J25" s="25">
        <v>-476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</row>
    <row r="26" spans="4:59" ht="12.75">
      <c r="D26" s="39"/>
      <c r="E26" s="28"/>
      <c r="F26" s="25"/>
      <c r="G26" s="28"/>
      <c r="H26" s="39"/>
      <c r="I26" s="28"/>
      <c r="J26" s="25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</row>
    <row r="27" spans="2:59" ht="12.75">
      <c r="B27" s="13" t="s">
        <v>126</v>
      </c>
      <c r="D27" s="42">
        <f>+H27-'[3]income stat'!$D$27</f>
        <v>2820.7625</v>
      </c>
      <c r="E27" s="28"/>
      <c r="F27" s="26">
        <v>2321</v>
      </c>
      <c r="G27" s="28"/>
      <c r="H27" s="43">
        <f>+'[2]CONSOL-IS'!$U$51/1000</f>
        <v>5054.976</v>
      </c>
      <c r="I27" s="28"/>
      <c r="J27" s="26">
        <v>3402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</row>
    <row r="28" spans="4:59" ht="12.75">
      <c r="D28" s="39"/>
      <c r="E28" s="28"/>
      <c r="F28" s="25"/>
      <c r="G28" s="28"/>
      <c r="H28" s="39"/>
      <c r="I28" s="28"/>
      <c r="J28" s="25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</row>
    <row r="29" spans="2:59" ht="12.75">
      <c r="B29" s="13" t="s">
        <v>49</v>
      </c>
      <c r="D29" s="39">
        <f>+H29-'[3]income stat'!$D$29</f>
        <v>9041.426762499948</v>
      </c>
      <c r="E29" s="28"/>
      <c r="F29" s="25">
        <v>8135</v>
      </c>
      <c r="G29" s="28"/>
      <c r="H29" s="39">
        <f>+'[2]CONSOL-IS'!$U$54/1000+1</f>
        <v>15741.426762499948</v>
      </c>
      <c r="I29" s="28"/>
      <c r="J29" s="25">
        <v>14887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</row>
    <row r="30" spans="4:59" ht="12.75">
      <c r="D30" s="39"/>
      <c r="E30" s="28"/>
      <c r="F30" s="25"/>
      <c r="G30" s="28"/>
      <c r="H30" s="38"/>
      <c r="I30" s="28"/>
      <c r="J30" s="25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</row>
    <row r="31" spans="2:10" ht="12.75">
      <c r="B31" s="2" t="s">
        <v>50</v>
      </c>
      <c r="D31" s="41">
        <f>+H31-'[3]income stat'!$D$31</f>
        <v>-2376.97858</v>
      </c>
      <c r="F31" s="26">
        <v>-2218</v>
      </c>
      <c r="H31" s="41">
        <f>+'[2]CONSOL-IS'!$U$62/1000</f>
        <v>-4311.55836</v>
      </c>
      <c r="J31" s="26">
        <v>-4102</v>
      </c>
    </row>
    <row r="32" spans="4:10" ht="12.75">
      <c r="D32" s="39"/>
      <c r="E32" s="28"/>
      <c r="F32" s="25"/>
      <c r="G32" s="28"/>
      <c r="H32" s="38"/>
      <c r="I32" s="28"/>
      <c r="J32" s="25"/>
    </row>
    <row r="33" spans="2:10" ht="12.75">
      <c r="B33" s="13" t="s">
        <v>51</v>
      </c>
      <c r="D33" s="39">
        <f>+D29+D31</f>
        <v>6664.448182499948</v>
      </c>
      <c r="E33" s="28"/>
      <c r="F33" s="25">
        <f>+F29+F31</f>
        <v>5917</v>
      </c>
      <c r="G33" s="28"/>
      <c r="H33" s="39">
        <f>+H29+H31-1</f>
        <v>11428.86840249995</v>
      </c>
      <c r="I33" s="28"/>
      <c r="J33" s="25">
        <f>+J29+J31</f>
        <v>10785</v>
      </c>
    </row>
    <row r="34" spans="4:10" ht="12.75">
      <c r="D34" s="39"/>
      <c r="E34" s="28"/>
      <c r="F34" s="25"/>
      <c r="G34" s="28"/>
      <c r="H34" s="38"/>
      <c r="I34" s="28"/>
      <c r="J34" s="25"/>
    </row>
    <row r="35" spans="2:10" ht="12.75">
      <c r="B35" s="13" t="s">
        <v>26</v>
      </c>
      <c r="D35" s="41">
        <f>+H35-'[3]income stat'!$D$35</f>
        <v>-118.57003001200088</v>
      </c>
      <c r="E35" s="28"/>
      <c r="F35" s="26">
        <v>379</v>
      </c>
      <c r="G35" s="28"/>
      <c r="H35" s="41">
        <f>+'[2]CONSOL-IS'!$U$66/1000</f>
        <v>-210.56666539999992</v>
      </c>
      <c r="I35" s="28"/>
      <c r="J35" s="26">
        <v>-240</v>
      </c>
    </row>
    <row r="36" spans="4:10" ht="12.75">
      <c r="D36" s="39"/>
      <c r="E36" s="28"/>
      <c r="F36" s="25"/>
      <c r="G36" s="28"/>
      <c r="H36" s="39"/>
      <c r="I36" s="28"/>
      <c r="J36" s="25"/>
    </row>
    <row r="37" spans="1:10" ht="13.5" thickBot="1">
      <c r="A37" s="13"/>
      <c r="B37" s="13" t="s">
        <v>52</v>
      </c>
      <c r="D37" s="64">
        <f>+D33+D35-1</f>
        <v>6544.878152487948</v>
      </c>
      <c r="E37" s="28"/>
      <c r="F37" s="65">
        <f>+F33+F35</f>
        <v>6296</v>
      </c>
      <c r="G37" s="28"/>
      <c r="H37" s="66">
        <f>+H33+H35</f>
        <v>11218.30173709995</v>
      </c>
      <c r="I37" s="28"/>
      <c r="J37" s="65">
        <f>+J33+J35</f>
        <v>10545</v>
      </c>
    </row>
    <row r="38" spans="4:10" ht="12.75">
      <c r="D38" s="39"/>
      <c r="E38" s="28"/>
      <c r="F38" s="25"/>
      <c r="G38" s="28"/>
      <c r="H38" s="39"/>
      <c r="I38" s="28"/>
      <c r="J38" s="25"/>
    </row>
    <row r="39" spans="2:10" ht="12.75">
      <c r="B39" s="13" t="s">
        <v>101</v>
      </c>
      <c r="D39" s="39"/>
      <c r="E39" s="28"/>
      <c r="F39" s="25"/>
      <c r="G39" s="28"/>
      <c r="H39" s="39"/>
      <c r="I39" s="28"/>
      <c r="J39" s="25" t="s">
        <v>53</v>
      </c>
    </row>
    <row r="40" spans="2:10" ht="13.5" thickBot="1">
      <c r="B40" s="15" t="s">
        <v>54</v>
      </c>
      <c r="D40" s="85">
        <v>3.98</v>
      </c>
      <c r="E40" s="28"/>
      <c r="F40" s="27">
        <f>8.07/2</f>
        <v>4.035</v>
      </c>
      <c r="G40" s="28"/>
      <c r="H40" s="85">
        <v>6.86</v>
      </c>
      <c r="I40" s="28"/>
      <c r="J40" s="27">
        <f>13.52/2</f>
        <v>6.76</v>
      </c>
    </row>
    <row r="41" spans="2:10" ht="13.5" thickBot="1">
      <c r="B41" s="15" t="s">
        <v>55</v>
      </c>
      <c r="D41" s="86">
        <v>3.94</v>
      </c>
      <c r="E41" s="28"/>
      <c r="F41" s="63" t="s">
        <v>97</v>
      </c>
      <c r="G41" s="28">
        <v>0.02</v>
      </c>
      <c r="H41" s="86">
        <v>6.79</v>
      </c>
      <c r="I41" s="28"/>
      <c r="J41" s="63" t="s">
        <v>97</v>
      </c>
    </row>
    <row r="42" spans="2:10" ht="12.75">
      <c r="B42" s="15"/>
      <c r="D42" s="88"/>
      <c r="E42" s="28"/>
      <c r="F42" s="89"/>
      <c r="G42" s="28"/>
      <c r="H42" s="88"/>
      <c r="I42" s="28"/>
      <c r="J42" s="89"/>
    </row>
    <row r="43" spans="2:10" ht="12.75">
      <c r="B43" s="15"/>
      <c r="D43" s="88"/>
      <c r="E43" s="28"/>
      <c r="F43" s="89"/>
      <c r="G43" s="28"/>
      <c r="H43" s="88"/>
      <c r="I43" s="28"/>
      <c r="J43" s="89"/>
    </row>
    <row r="44" spans="2:10" ht="12.75">
      <c r="B44" s="13" t="s">
        <v>124</v>
      </c>
      <c r="D44" s="11"/>
      <c r="E44" s="11"/>
      <c r="F44" s="11"/>
      <c r="G44" s="28"/>
      <c r="H44" s="25"/>
      <c r="I44" s="28"/>
      <c r="J44" s="25"/>
    </row>
    <row r="45" spans="2:10" ht="12.75">
      <c r="B45" s="15" t="s">
        <v>125</v>
      </c>
      <c r="D45" s="11"/>
      <c r="E45" s="11"/>
      <c r="F45" s="11"/>
      <c r="G45" s="28"/>
      <c r="H45" s="25"/>
      <c r="I45" s="28"/>
      <c r="J45" s="25"/>
    </row>
    <row r="46" spans="4:10" ht="12.75">
      <c r="D46" s="25"/>
      <c r="E46" s="28"/>
      <c r="F46" s="25"/>
      <c r="G46" s="28"/>
      <c r="H46" s="25"/>
      <c r="I46" s="28"/>
      <c r="J46" s="25"/>
    </row>
    <row r="47" spans="2:10" ht="12.75">
      <c r="B47" s="80" t="s">
        <v>114</v>
      </c>
      <c r="D47" s="25"/>
      <c r="E47" s="28"/>
      <c r="F47" s="25"/>
      <c r="G47" s="28"/>
      <c r="H47" s="25"/>
      <c r="I47" s="28"/>
      <c r="J47" s="25"/>
    </row>
    <row r="48" spans="2:10" ht="12.75">
      <c r="B48" s="62" t="s">
        <v>31</v>
      </c>
      <c r="D48" s="25"/>
      <c r="E48" s="28"/>
      <c r="F48" s="25"/>
      <c r="G48" s="28"/>
      <c r="H48" s="25"/>
      <c r="I48" s="28"/>
      <c r="J48" s="25"/>
    </row>
    <row r="49" spans="4:10" ht="12.75">
      <c r="D49" s="25"/>
      <c r="E49" s="28"/>
      <c r="F49" s="25"/>
      <c r="G49" s="28"/>
      <c r="H49" s="25"/>
      <c r="I49" s="28"/>
      <c r="J49" s="25"/>
    </row>
    <row r="50" spans="4:10" ht="12.75">
      <c r="D50" s="25"/>
      <c r="E50" s="28"/>
      <c r="F50" s="25"/>
      <c r="G50" s="28"/>
      <c r="H50" s="28"/>
      <c r="I50" s="28"/>
      <c r="J50" s="25"/>
    </row>
    <row r="51" spans="4:10" ht="12.75">
      <c r="D51" s="25"/>
      <c r="E51" s="28"/>
      <c r="F51" s="25"/>
      <c r="G51" s="28"/>
      <c r="H51" s="25"/>
      <c r="I51" s="28"/>
      <c r="J51" s="25"/>
    </row>
    <row r="52" spans="4:10" ht="12.75">
      <c r="D52" s="25"/>
      <c r="E52" s="28"/>
      <c r="F52" s="25"/>
      <c r="G52" s="28"/>
      <c r="H52" s="25"/>
      <c r="I52" s="28"/>
      <c r="J52" s="25"/>
    </row>
    <row r="53" spans="4:10" ht="12.75">
      <c r="D53" s="25"/>
      <c r="E53" s="28"/>
      <c r="F53" s="25"/>
      <c r="G53" s="28"/>
      <c r="H53" s="25"/>
      <c r="I53" s="28"/>
      <c r="J53" s="25"/>
    </row>
  </sheetData>
  <printOptions/>
  <pageMargins left="0.81" right="0.41" top="1.5" bottom="0.5" header="0.25" footer="0.25"/>
  <pageSetup fitToHeight="1" fitToWidth="1" horizontalDpi="180" verticalDpi="180" orientation="portrait" paperSize="9" scale="97" r:id="rId1"/>
  <headerFooter alignWithMargins="0">
    <oddFooter>&amp;C&amp;"Times New Roman,Italic"&amp;8- Page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="75" zoomScaleNormal="75" workbookViewId="0" topLeftCell="A1">
      <selection activeCell="A1" sqref="A1:A2"/>
    </sheetView>
  </sheetViews>
  <sheetFormatPr defaultColWidth="9.140625" defaultRowHeight="12.75"/>
  <cols>
    <col min="1" max="1" width="2.421875" style="2" customWidth="1"/>
    <col min="2" max="2" width="31.8515625" style="2" customWidth="1"/>
    <col min="3" max="3" width="0.71875" style="2" customWidth="1"/>
    <col min="4" max="4" width="10.57421875" style="2" bestFit="1" customWidth="1"/>
    <col min="5" max="5" width="0.85546875" style="2" customWidth="1"/>
    <col min="6" max="6" width="8.8515625" style="2" customWidth="1"/>
    <col min="7" max="7" width="0.71875" style="2" customWidth="1"/>
    <col min="8" max="8" width="13.7109375" style="2" customWidth="1"/>
    <col min="9" max="9" width="0.85546875" style="2" customWidth="1"/>
    <col min="10" max="10" width="11.7109375" style="2" bestFit="1" customWidth="1"/>
    <col min="11" max="11" width="0.85546875" style="2" customWidth="1"/>
    <col min="12" max="12" width="11.57421875" style="2" bestFit="1" customWidth="1"/>
    <col min="13" max="16384" width="9.140625" style="2" customWidth="1"/>
  </cols>
  <sheetData>
    <row r="1" spans="1:12" ht="18.75">
      <c r="A1" s="19" t="s">
        <v>129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.75">
      <c r="A2" s="91" t="s">
        <v>130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ht="12.75">
      <c r="A3" s="12"/>
    </row>
    <row r="4" ht="14.25">
      <c r="A4" s="36" t="str">
        <f>+'balance sheet'!A4</f>
        <v>Second quarter interim report for the financial period ended 30 September 2005</v>
      </c>
    </row>
    <row r="5" ht="12.75">
      <c r="A5" s="37" t="s">
        <v>0</v>
      </c>
    </row>
    <row r="7" ht="12.75">
      <c r="A7" s="1" t="s">
        <v>56</v>
      </c>
    </row>
    <row r="9" spans="4:11" s="53" customFormat="1" ht="12.75">
      <c r="D9" s="70" t="s">
        <v>57</v>
      </c>
      <c r="E9" s="58"/>
      <c r="F9" s="58" t="s">
        <v>57</v>
      </c>
      <c r="G9" s="58"/>
      <c r="H9" s="70" t="s">
        <v>58</v>
      </c>
      <c r="I9" s="58"/>
      <c r="J9" s="58" t="s">
        <v>59</v>
      </c>
      <c r="K9" s="58"/>
    </row>
    <row r="10" spans="4:12" s="53" customFormat="1" ht="12.75">
      <c r="D10" s="58" t="s">
        <v>60</v>
      </c>
      <c r="E10" s="58"/>
      <c r="F10" s="58" t="s">
        <v>61</v>
      </c>
      <c r="G10" s="58"/>
      <c r="H10" s="70" t="s">
        <v>62</v>
      </c>
      <c r="I10" s="58"/>
      <c r="J10" s="58" t="s">
        <v>63</v>
      </c>
      <c r="K10" s="58"/>
      <c r="L10" s="58" t="s">
        <v>64</v>
      </c>
    </row>
    <row r="11" spans="4:12" s="53" customFormat="1" ht="12.75">
      <c r="D11" s="70" t="s">
        <v>2</v>
      </c>
      <c r="E11" s="58"/>
      <c r="F11" s="70" t="s">
        <v>2</v>
      </c>
      <c r="G11" s="70"/>
      <c r="H11" s="58" t="s">
        <v>2</v>
      </c>
      <c r="I11" s="58"/>
      <c r="J11" s="70" t="s">
        <v>2</v>
      </c>
      <c r="K11" s="58"/>
      <c r="L11" s="70" t="s">
        <v>2</v>
      </c>
    </row>
    <row r="13" spans="2:12" ht="12.75">
      <c r="B13" s="13" t="s">
        <v>103</v>
      </c>
      <c r="D13" s="45">
        <v>81264</v>
      </c>
      <c r="E13" s="45">
        <f aca="true" t="shared" si="0" ref="E13:K13">E57</f>
        <v>0</v>
      </c>
      <c r="F13" s="45">
        <v>5505</v>
      </c>
      <c r="G13" s="45">
        <f t="shared" si="0"/>
        <v>0</v>
      </c>
      <c r="H13" s="45">
        <v>783</v>
      </c>
      <c r="I13" s="45">
        <f t="shared" si="0"/>
        <v>0</v>
      </c>
      <c r="J13" s="45">
        <v>43941</v>
      </c>
      <c r="K13" s="45">
        <f t="shared" si="0"/>
        <v>0</v>
      </c>
      <c r="L13" s="45">
        <f>SUM(D13:K13)</f>
        <v>131493</v>
      </c>
    </row>
    <row r="14" spans="2:12" ht="12.75">
      <c r="B14" s="13"/>
      <c r="D14" s="45"/>
      <c r="E14" s="45"/>
      <c r="F14" s="45"/>
      <c r="G14" s="45"/>
      <c r="H14" s="45"/>
      <c r="I14" s="45"/>
      <c r="J14" s="45"/>
      <c r="K14" s="45"/>
      <c r="L14" s="45"/>
    </row>
    <row r="15" spans="2:12" ht="12.75">
      <c r="B15" s="13" t="s">
        <v>92</v>
      </c>
      <c r="D15" s="45"/>
      <c r="E15" s="45"/>
      <c r="F15" s="52"/>
      <c r="G15" s="45"/>
      <c r="H15" s="45"/>
      <c r="I15" s="45"/>
      <c r="J15" s="45"/>
      <c r="K15" s="45"/>
      <c r="L15" s="45"/>
    </row>
    <row r="16" spans="2:12" ht="12.75">
      <c r="B16" s="13" t="s">
        <v>109</v>
      </c>
      <c r="D16" s="45">
        <v>0</v>
      </c>
      <c r="E16" s="45"/>
      <c r="F16" s="52">
        <v>0</v>
      </c>
      <c r="G16" s="45"/>
      <c r="H16" s="45">
        <f>-4-4-13</f>
        <v>-21</v>
      </c>
      <c r="I16" s="45"/>
      <c r="J16" s="45">
        <v>0</v>
      </c>
      <c r="K16" s="45"/>
      <c r="L16" s="45">
        <f>SUM(D16:K16)</f>
        <v>-21</v>
      </c>
    </row>
    <row r="17" spans="4:12" ht="12.75">
      <c r="D17" s="45"/>
      <c r="E17" s="45"/>
      <c r="F17" s="45"/>
      <c r="G17" s="45"/>
      <c r="H17" s="45"/>
      <c r="I17" s="45"/>
      <c r="J17" s="45"/>
      <c r="K17" s="45"/>
      <c r="L17" s="45"/>
    </row>
    <row r="18" spans="2:12" ht="12.75">
      <c r="B18" s="13" t="s">
        <v>110</v>
      </c>
      <c r="D18" s="45">
        <v>0</v>
      </c>
      <c r="E18" s="45"/>
      <c r="F18" s="45">
        <v>0</v>
      </c>
      <c r="G18" s="45"/>
      <c r="H18" s="45">
        <v>0</v>
      </c>
      <c r="I18" s="45"/>
      <c r="J18" s="44">
        <f>+'income stat'!H37</f>
        <v>11218.30173709995</v>
      </c>
      <c r="K18" s="45"/>
      <c r="L18" s="45">
        <f>SUM(D18:K18)</f>
        <v>11218.30173709995</v>
      </c>
    </row>
    <row r="19" spans="2:12" ht="12.75">
      <c r="B19" s="13"/>
      <c r="D19" s="45"/>
      <c r="E19" s="45"/>
      <c r="F19" s="45"/>
      <c r="G19" s="45"/>
      <c r="H19" s="45"/>
      <c r="I19" s="45"/>
      <c r="J19" s="45"/>
      <c r="K19" s="45"/>
      <c r="L19" s="45"/>
    </row>
    <row r="20" spans="2:12" ht="12.75">
      <c r="B20" s="15" t="s">
        <v>90</v>
      </c>
      <c r="D20" s="45">
        <v>1489</v>
      </c>
      <c r="E20" s="45"/>
      <c r="F20" s="45">
        <v>372</v>
      </c>
      <c r="G20" s="45"/>
      <c r="H20" s="45">
        <v>0</v>
      </c>
      <c r="I20" s="45"/>
      <c r="J20" s="45">
        <v>0</v>
      </c>
      <c r="K20" s="45"/>
      <c r="L20" s="45">
        <f>SUM(D20:K20)</f>
        <v>1861</v>
      </c>
    </row>
    <row r="21" spans="2:12" ht="12.75">
      <c r="B21" s="13"/>
      <c r="D21" s="45"/>
      <c r="E21" s="45"/>
      <c r="F21" s="45"/>
      <c r="G21" s="45"/>
      <c r="H21" s="45"/>
      <c r="I21" s="45"/>
      <c r="J21" s="45"/>
      <c r="K21" s="45"/>
      <c r="L21" s="45"/>
    </row>
    <row r="22" spans="2:12" ht="12.75" hidden="1">
      <c r="B22" s="13" t="s">
        <v>93</v>
      </c>
      <c r="D22" s="1"/>
      <c r="E22" s="1"/>
      <c r="F22" s="1"/>
      <c r="G22" s="1"/>
      <c r="H22" s="1"/>
      <c r="I22" s="1"/>
      <c r="J22" s="1"/>
      <c r="K22" s="1"/>
      <c r="L22" s="45"/>
    </row>
    <row r="23" spans="2:12" ht="12.75" hidden="1">
      <c r="B23" s="15" t="s">
        <v>94</v>
      </c>
      <c r="D23" s="45">
        <v>0</v>
      </c>
      <c r="E23" s="45"/>
      <c r="F23" s="45">
        <v>0</v>
      </c>
      <c r="G23" s="45"/>
      <c r="H23" s="45">
        <v>0</v>
      </c>
      <c r="I23" s="45"/>
      <c r="J23" s="45">
        <v>0</v>
      </c>
      <c r="K23" s="45"/>
      <c r="L23" s="45">
        <f>SUM(D23:K23)</f>
        <v>0</v>
      </c>
    </row>
    <row r="24" spans="2:12" ht="12.75" hidden="1">
      <c r="B24" s="13"/>
      <c r="D24" s="45"/>
      <c r="E24" s="45"/>
      <c r="F24" s="45"/>
      <c r="G24" s="45"/>
      <c r="H24" s="45"/>
      <c r="I24" s="45"/>
      <c r="J24" s="45"/>
      <c r="K24" s="45"/>
      <c r="L24" s="45"/>
    </row>
    <row r="25" ht="12.75" hidden="1">
      <c r="B25" s="13" t="s">
        <v>96</v>
      </c>
    </row>
    <row r="26" spans="2:12" ht="12.75" hidden="1">
      <c r="B26" s="15" t="s">
        <v>95</v>
      </c>
      <c r="D26" s="45">
        <v>0</v>
      </c>
      <c r="E26" s="1"/>
      <c r="F26" s="45">
        <v>0</v>
      </c>
      <c r="G26" s="1"/>
      <c r="H26" s="45">
        <v>0</v>
      </c>
      <c r="I26" s="1"/>
      <c r="J26" s="45">
        <v>0</v>
      </c>
      <c r="K26" s="1"/>
      <c r="L26" s="45">
        <f>SUM(D26:K26)</f>
        <v>0</v>
      </c>
    </row>
    <row r="27" spans="4:12" ht="12.75" hidden="1">
      <c r="D27" s="45"/>
      <c r="E27" s="1"/>
      <c r="F27" s="45"/>
      <c r="G27" s="1"/>
      <c r="H27" s="45"/>
      <c r="I27" s="1"/>
      <c r="J27" s="45"/>
      <c r="K27" s="1"/>
      <c r="L27" s="45"/>
    </row>
    <row r="28" spans="2:12" ht="12.75" hidden="1">
      <c r="B28" s="2" t="s">
        <v>66</v>
      </c>
      <c r="D28" s="45"/>
      <c r="E28" s="1"/>
      <c r="F28" s="45"/>
      <c r="G28" s="1"/>
      <c r="H28" s="45"/>
      <c r="I28" s="1"/>
      <c r="J28" s="45"/>
      <c r="K28" s="1"/>
      <c r="L28" s="45"/>
    </row>
    <row r="29" spans="2:12" ht="12.75" hidden="1">
      <c r="B29" s="2" t="s">
        <v>67</v>
      </c>
      <c r="D29" s="45">
        <v>0</v>
      </c>
      <c r="E29" s="1"/>
      <c r="F29" s="45">
        <v>0</v>
      </c>
      <c r="G29" s="1"/>
      <c r="H29" s="45">
        <v>0</v>
      </c>
      <c r="I29" s="1"/>
      <c r="J29" s="45">
        <v>0</v>
      </c>
      <c r="K29" s="1"/>
      <c r="L29" s="45">
        <f>SUM(D29:K29)</f>
        <v>0</v>
      </c>
    </row>
    <row r="30" spans="2:12" ht="13.5" thickBot="1">
      <c r="B30" s="13" t="s">
        <v>121</v>
      </c>
      <c r="D30" s="68">
        <f aca="true" t="shared" si="1" ref="D30:K30">SUM(D13:D29)</f>
        <v>82753</v>
      </c>
      <c r="E30" s="68">
        <f t="shared" si="1"/>
        <v>0</v>
      </c>
      <c r="F30" s="68">
        <f t="shared" si="1"/>
        <v>5877</v>
      </c>
      <c r="G30" s="68">
        <f t="shared" si="1"/>
        <v>0</v>
      </c>
      <c r="H30" s="68">
        <f t="shared" si="1"/>
        <v>762</v>
      </c>
      <c r="I30" s="68">
        <f t="shared" si="1"/>
        <v>0</v>
      </c>
      <c r="J30" s="68">
        <f t="shared" si="1"/>
        <v>55159.30173709995</v>
      </c>
      <c r="K30" s="68">
        <f t="shared" si="1"/>
        <v>0</v>
      </c>
      <c r="L30" s="68">
        <f>SUM(L13:L29)</f>
        <v>144551.30173709994</v>
      </c>
    </row>
    <row r="31" spans="4:12" ht="12.75">
      <c r="D31" s="3"/>
      <c r="E31" s="3"/>
      <c r="F31" s="3"/>
      <c r="G31" s="3"/>
      <c r="H31" s="3"/>
      <c r="I31" s="3"/>
      <c r="J31" s="3"/>
      <c r="K31" s="3"/>
      <c r="L31" s="3"/>
    </row>
    <row r="32" spans="2:12" ht="12.75">
      <c r="B32" s="13" t="s">
        <v>65</v>
      </c>
      <c r="D32" s="3">
        <v>78000</v>
      </c>
      <c r="E32" s="3">
        <f>E80</f>
        <v>0</v>
      </c>
      <c r="F32" s="3">
        <v>4689</v>
      </c>
      <c r="G32" s="3">
        <f>G80</f>
        <v>0</v>
      </c>
      <c r="H32" s="3">
        <v>307</v>
      </c>
      <c r="I32" s="3">
        <f>I80</f>
        <v>0</v>
      </c>
      <c r="J32" s="3">
        <v>37866</v>
      </c>
      <c r="K32" s="3">
        <f>K80</f>
        <v>0</v>
      </c>
      <c r="L32" s="3">
        <f>SUM(D32:K32)</f>
        <v>120862</v>
      </c>
    </row>
    <row r="33" spans="2:12" ht="15" customHeight="1">
      <c r="B33" s="13"/>
      <c r="D33" s="3"/>
      <c r="E33" s="3"/>
      <c r="F33" s="3"/>
      <c r="G33" s="3"/>
      <c r="H33" s="3"/>
      <c r="I33" s="3"/>
      <c r="J33" s="3"/>
      <c r="K33" s="3"/>
      <c r="L33" s="3"/>
    </row>
    <row r="34" spans="2:12" ht="12.75" hidden="1">
      <c r="B34" s="15" t="s">
        <v>85</v>
      </c>
      <c r="D34" s="3"/>
      <c r="E34" s="3"/>
      <c r="F34" s="3"/>
      <c r="G34" s="3"/>
      <c r="H34" s="3"/>
      <c r="I34" s="3"/>
      <c r="J34" s="3"/>
      <c r="K34" s="3"/>
      <c r="L34" s="3"/>
    </row>
    <row r="35" spans="2:12" ht="12.75" hidden="1">
      <c r="B35" s="13" t="s">
        <v>107</v>
      </c>
      <c r="E35" s="3"/>
      <c r="G35" s="3"/>
      <c r="I35" s="3"/>
      <c r="K35" s="3"/>
      <c r="L35" s="3"/>
    </row>
    <row r="36" spans="2:12" ht="12.75" hidden="1">
      <c r="B36" s="15" t="s">
        <v>104</v>
      </c>
      <c r="D36" s="3">
        <v>0</v>
      </c>
      <c r="E36" s="3"/>
      <c r="F36" s="3">
        <v>0</v>
      </c>
      <c r="G36" s="3"/>
      <c r="H36" s="3">
        <v>0</v>
      </c>
      <c r="I36" s="3"/>
      <c r="J36" s="3">
        <v>0</v>
      </c>
      <c r="K36" s="3"/>
      <c r="L36" s="3">
        <f>SUM(D36:J36)</f>
        <v>0</v>
      </c>
    </row>
    <row r="37" spans="2:12" ht="12.75" hidden="1">
      <c r="B37" s="15"/>
      <c r="D37" s="3"/>
      <c r="E37" s="3"/>
      <c r="F37" s="3"/>
      <c r="G37" s="3"/>
      <c r="H37" s="3" t="s">
        <v>105</v>
      </c>
      <c r="I37" s="3"/>
      <c r="J37" s="3"/>
      <c r="K37" s="3"/>
      <c r="L37" s="3"/>
    </row>
    <row r="38" spans="2:12" ht="12.75">
      <c r="B38" s="15" t="s">
        <v>85</v>
      </c>
      <c r="D38" s="3"/>
      <c r="E38" s="3"/>
      <c r="F38" s="3"/>
      <c r="G38" s="3"/>
      <c r="H38" s="3"/>
      <c r="I38" s="3"/>
      <c r="J38" s="3"/>
      <c r="K38" s="3"/>
      <c r="L38" s="3"/>
    </row>
    <row r="39" spans="2:12" ht="12.75">
      <c r="B39" s="15" t="s">
        <v>122</v>
      </c>
      <c r="D39" s="3">
        <v>0</v>
      </c>
      <c r="E39" s="3"/>
      <c r="F39" s="3">
        <v>0</v>
      </c>
      <c r="G39" s="3"/>
      <c r="H39" s="3">
        <v>511</v>
      </c>
      <c r="I39" s="3"/>
      <c r="J39" s="3">
        <v>0</v>
      </c>
      <c r="K39" s="3"/>
      <c r="L39" s="3">
        <f>SUM(D39:J39)</f>
        <v>511</v>
      </c>
    </row>
    <row r="40" spans="2:12" ht="12.75">
      <c r="B40" s="15"/>
      <c r="D40" s="3"/>
      <c r="E40" s="3"/>
      <c r="F40" s="3"/>
      <c r="G40" s="3"/>
      <c r="H40" s="3"/>
      <c r="I40" s="3"/>
      <c r="J40" s="3"/>
      <c r="K40" s="3"/>
      <c r="L40" s="3"/>
    </row>
    <row r="41" spans="2:12" ht="12.75">
      <c r="B41" s="13" t="s">
        <v>92</v>
      </c>
      <c r="D41" s="3"/>
      <c r="E41" s="3"/>
      <c r="F41" s="11"/>
      <c r="G41" s="3"/>
      <c r="H41" s="3"/>
      <c r="I41" s="3"/>
      <c r="J41" s="3"/>
      <c r="K41" s="3"/>
      <c r="L41" s="3"/>
    </row>
    <row r="42" spans="2:12" ht="12.75">
      <c r="B42" s="13" t="s">
        <v>109</v>
      </c>
      <c r="D42" s="3">
        <v>0</v>
      </c>
      <c r="E42" s="3"/>
      <c r="F42" s="11">
        <v>0</v>
      </c>
      <c r="G42" s="3"/>
      <c r="H42" s="3">
        <v>-10</v>
      </c>
      <c r="I42" s="3"/>
      <c r="J42" s="3">
        <v>0</v>
      </c>
      <c r="K42" s="3"/>
      <c r="L42" s="3">
        <f>SUM(D42:K42)</f>
        <v>-10</v>
      </c>
    </row>
    <row r="43" spans="4:12" ht="12.75">
      <c r="D43" s="3"/>
      <c r="E43" s="3"/>
      <c r="F43" s="3"/>
      <c r="G43" s="3"/>
      <c r="H43" s="3"/>
      <c r="I43" s="3"/>
      <c r="J43" s="3"/>
      <c r="K43" s="3"/>
      <c r="L43" s="3"/>
    </row>
    <row r="44" spans="2:12" ht="12.75">
      <c r="B44" s="13" t="s">
        <v>111</v>
      </c>
      <c r="D44" s="3">
        <v>0</v>
      </c>
      <c r="E44" s="3"/>
      <c r="F44" s="3">
        <v>0</v>
      </c>
      <c r="G44" s="3"/>
      <c r="H44" s="3">
        <v>0</v>
      </c>
      <c r="I44" s="3"/>
      <c r="J44" s="18">
        <v>10545</v>
      </c>
      <c r="K44" s="3"/>
      <c r="L44" s="3">
        <f>SUM(D44:K44)</f>
        <v>10545</v>
      </c>
    </row>
    <row r="45" spans="2:12" ht="12.75">
      <c r="B45" s="13"/>
      <c r="D45" s="45"/>
      <c r="E45" s="45"/>
      <c r="F45" s="45"/>
      <c r="G45" s="45"/>
      <c r="H45" s="45"/>
      <c r="I45" s="45"/>
      <c r="J45" s="45"/>
      <c r="K45" s="45"/>
      <c r="L45" s="45"/>
    </row>
    <row r="46" spans="2:12" ht="12.75" hidden="1">
      <c r="B46" s="15" t="s">
        <v>90</v>
      </c>
      <c r="D46" s="45"/>
      <c r="E46" s="45"/>
      <c r="F46" s="45"/>
      <c r="G46" s="45"/>
      <c r="H46" s="45">
        <v>0</v>
      </c>
      <c r="I46" s="45"/>
      <c r="J46" s="45">
        <v>0</v>
      </c>
      <c r="K46" s="45"/>
      <c r="L46" s="45">
        <f>SUM(D46:K46)</f>
        <v>0</v>
      </c>
    </row>
    <row r="47" spans="2:12" ht="12.75" hidden="1">
      <c r="B47" s="13"/>
      <c r="D47" s="45"/>
      <c r="E47" s="45"/>
      <c r="F47" s="45"/>
      <c r="G47" s="45"/>
      <c r="H47" s="45"/>
      <c r="I47" s="45"/>
      <c r="J47" s="45"/>
      <c r="K47" s="45"/>
      <c r="L47" s="45"/>
    </row>
    <row r="48" spans="2:12" ht="12.75" hidden="1">
      <c r="B48" s="13" t="s">
        <v>93</v>
      </c>
      <c r="D48" s="1"/>
      <c r="E48" s="1"/>
      <c r="F48" s="1"/>
      <c r="G48" s="1"/>
      <c r="H48" s="1"/>
      <c r="I48" s="1"/>
      <c r="J48" s="1"/>
      <c r="K48" s="1"/>
      <c r="L48" s="45"/>
    </row>
    <row r="49" spans="2:12" ht="12.75" hidden="1">
      <c r="B49" s="15" t="s">
        <v>94</v>
      </c>
      <c r="D49" s="45">
        <v>0</v>
      </c>
      <c r="E49" s="45"/>
      <c r="F49" s="45">
        <v>0</v>
      </c>
      <c r="G49" s="45"/>
      <c r="H49" s="45">
        <v>0</v>
      </c>
      <c r="I49" s="45"/>
      <c r="J49" s="45">
        <v>0</v>
      </c>
      <c r="K49" s="45"/>
      <c r="L49" s="45">
        <f>SUM(D49:K49)</f>
        <v>0</v>
      </c>
    </row>
    <row r="50" spans="2:12" ht="12.75" hidden="1">
      <c r="B50" s="13"/>
      <c r="D50" s="45"/>
      <c r="E50" s="45"/>
      <c r="F50" s="45"/>
      <c r="G50" s="45"/>
      <c r="H50" s="45"/>
      <c r="I50" s="45"/>
      <c r="J50" s="45"/>
      <c r="K50" s="45"/>
      <c r="L50" s="45"/>
    </row>
    <row r="51" ht="12.75" hidden="1">
      <c r="B51" s="13" t="s">
        <v>96</v>
      </c>
    </row>
    <row r="52" spans="2:12" ht="12.75" hidden="1">
      <c r="B52" s="15" t="s">
        <v>95</v>
      </c>
      <c r="D52" s="45">
        <v>0</v>
      </c>
      <c r="E52" s="1"/>
      <c r="F52" s="45">
        <v>0</v>
      </c>
      <c r="G52" s="1"/>
      <c r="H52" s="45">
        <v>0</v>
      </c>
      <c r="I52" s="1"/>
      <c r="J52" s="45">
        <v>0</v>
      </c>
      <c r="K52" s="1"/>
      <c r="L52" s="45">
        <f>SUM(D52:K52)</f>
        <v>0</v>
      </c>
    </row>
    <row r="53" spans="4:12" ht="12.75" hidden="1">
      <c r="D53" s="45"/>
      <c r="E53" s="1"/>
      <c r="F53" s="45"/>
      <c r="G53" s="1"/>
      <c r="H53" s="45"/>
      <c r="I53" s="1"/>
      <c r="J53" s="45"/>
      <c r="K53" s="1"/>
      <c r="L53" s="45"/>
    </row>
    <row r="54" spans="2:12" ht="12.75" hidden="1">
      <c r="B54" s="2" t="s">
        <v>66</v>
      </c>
      <c r="D54" s="45"/>
      <c r="E54" s="1"/>
      <c r="F54" s="45"/>
      <c r="G54" s="1"/>
      <c r="H54" s="45"/>
      <c r="I54" s="1"/>
      <c r="J54" s="45"/>
      <c r="K54" s="1"/>
      <c r="L54" s="45"/>
    </row>
    <row r="55" spans="2:12" ht="12.75" hidden="1">
      <c r="B55" s="2" t="s">
        <v>67</v>
      </c>
      <c r="D55" s="45">
        <v>0</v>
      </c>
      <c r="E55" s="1"/>
      <c r="F55" s="45">
        <v>0</v>
      </c>
      <c r="G55" s="1"/>
      <c r="H55" s="45">
        <v>0</v>
      </c>
      <c r="I55" s="1"/>
      <c r="J55" s="45">
        <v>0</v>
      </c>
      <c r="K55" s="1"/>
      <c r="L55" s="45">
        <f>SUM(D55:K55)</f>
        <v>0</v>
      </c>
    </row>
    <row r="56" spans="2:12" ht="13.5" hidden="1" thickBot="1">
      <c r="B56" s="13" t="s">
        <v>87</v>
      </c>
      <c r="D56" s="68">
        <f aca="true" t="shared" si="2" ref="D56:L56">SUM(D32:D55)</f>
        <v>78000</v>
      </c>
      <c r="E56" s="68">
        <f t="shared" si="2"/>
        <v>0</v>
      </c>
      <c r="F56" s="68">
        <f t="shared" si="2"/>
        <v>4689</v>
      </c>
      <c r="G56" s="68">
        <f t="shared" si="2"/>
        <v>0</v>
      </c>
      <c r="H56" s="68">
        <f t="shared" si="2"/>
        <v>808</v>
      </c>
      <c r="I56" s="68">
        <f t="shared" si="2"/>
        <v>0</v>
      </c>
      <c r="J56" s="68">
        <f t="shared" si="2"/>
        <v>48411</v>
      </c>
      <c r="K56" s="68">
        <f t="shared" si="2"/>
        <v>0</v>
      </c>
      <c r="L56" s="68">
        <f t="shared" si="2"/>
        <v>131908</v>
      </c>
    </row>
    <row r="57" spans="2:12" ht="13.5" thickBot="1">
      <c r="B57" s="13" t="s">
        <v>120</v>
      </c>
      <c r="D57" s="56">
        <f>SUM(D32:D50)</f>
        <v>78000</v>
      </c>
      <c r="E57" s="56">
        <f>SUM(E33:E50)</f>
        <v>0</v>
      </c>
      <c r="F57" s="56">
        <f>SUM(F32:F50)</f>
        <v>4689</v>
      </c>
      <c r="G57" s="56">
        <f>SUM(G33:G50)</f>
        <v>0</v>
      </c>
      <c r="H57" s="56">
        <f>SUM(H32:H50)</f>
        <v>808</v>
      </c>
      <c r="I57" s="56">
        <f>SUM(I33:I50)</f>
        <v>0</v>
      </c>
      <c r="J57" s="56">
        <f>SUM(J32:J53)</f>
        <v>48411</v>
      </c>
      <c r="K57" s="56">
        <f>SUM(K33:K50)</f>
        <v>0</v>
      </c>
      <c r="L57" s="56">
        <f>SUM(L32:L53)</f>
        <v>131908</v>
      </c>
    </row>
    <row r="58" spans="2:12" ht="12.75">
      <c r="B58" s="13"/>
      <c r="D58" s="5"/>
      <c r="E58" s="5"/>
      <c r="F58" s="5"/>
      <c r="G58" s="5"/>
      <c r="H58" s="5"/>
      <c r="I58" s="5"/>
      <c r="J58" s="5"/>
      <c r="K58" s="5"/>
      <c r="L58" s="5"/>
    </row>
    <row r="59" spans="2:12" ht="15.75">
      <c r="B59" s="71"/>
      <c r="D59" s="5"/>
      <c r="E59" s="5"/>
      <c r="F59" s="5"/>
      <c r="G59" s="5"/>
      <c r="H59" s="5"/>
      <c r="I59" s="5"/>
      <c r="J59" s="5"/>
      <c r="K59" s="5"/>
      <c r="L59" s="5"/>
    </row>
    <row r="60" spans="4:12" ht="12.75">
      <c r="D60" s="3"/>
      <c r="E60" s="3"/>
      <c r="F60" s="3"/>
      <c r="G60" s="3"/>
      <c r="H60" s="3"/>
      <c r="I60" s="3"/>
      <c r="J60" s="3"/>
      <c r="K60" s="3"/>
      <c r="L60" s="3"/>
    </row>
    <row r="61" spans="2:12" ht="12.75">
      <c r="B61" s="12" t="s">
        <v>114</v>
      </c>
      <c r="D61" s="3"/>
      <c r="E61" s="3"/>
      <c r="F61" s="3"/>
      <c r="G61" s="3"/>
      <c r="H61" s="3"/>
      <c r="I61" s="3"/>
      <c r="J61" s="3"/>
      <c r="K61" s="3"/>
      <c r="L61" s="3"/>
    </row>
    <row r="62" spans="2:12" ht="12.75">
      <c r="B62" s="1" t="s">
        <v>31</v>
      </c>
      <c r="D62" s="3"/>
      <c r="E62" s="3"/>
      <c r="F62" s="3"/>
      <c r="G62" s="3"/>
      <c r="H62" s="3"/>
      <c r="I62" s="3"/>
      <c r="J62" s="3"/>
      <c r="K62" s="3"/>
      <c r="L62" s="3"/>
    </row>
  </sheetData>
  <printOptions horizontalCentered="1"/>
  <pageMargins left="0.25" right="0.25" top="1.25" bottom="0.5" header="0.25" footer="0.25"/>
  <pageSetup fitToHeight="1" fitToWidth="1" horizontalDpi="180" verticalDpi="180" orientation="portrait" r:id="rId1"/>
  <headerFooter alignWithMargins="0">
    <oddFooter>&amp;C&amp;"Times New Roman,Italic"&amp;8- Page 4 -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75" zoomScaleNormal="75" workbookViewId="0" topLeftCell="A1">
      <selection activeCell="A1" sqref="A1:A2"/>
    </sheetView>
  </sheetViews>
  <sheetFormatPr defaultColWidth="9.140625" defaultRowHeight="12.75"/>
  <cols>
    <col min="1" max="1" width="2.140625" style="2" customWidth="1"/>
    <col min="2" max="2" width="46.421875" style="2" customWidth="1"/>
    <col min="3" max="3" width="5.7109375" style="2" customWidth="1"/>
    <col min="4" max="4" width="15.7109375" style="3" customWidth="1"/>
    <col min="5" max="5" width="1.421875" style="2" customWidth="1"/>
    <col min="6" max="6" width="15.7109375" style="3" customWidth="1"/>
    <col min="7" max="16384" width="9.140625" style="2" customWidth="1"/>
  </cols>
  <sheetData>
    <row r="1" spans="1:6" ht="18.75">
      <c r="A1" s="19" t="s">
        <v>129</v>
      </c>
      <c r="B1" s="78"/>
      <c r="C1" s="78"/>
      <c r="D1" s="78"/>
      <c r="E1" s="78"/>
      <c r="F1" s="78"/>
    </row>
    <row r="2" spans="1:6" ht="12.75">
      <c r="A2" s="91" t="s">
        <v>130</v>
      </c>
      <c r="B2" s="76"/>
      <c r="C2" s="76"/>
      <c r="D2" s="76"/>
      <c r="E2" s="76"/>
      <c r="F2" s="76"/>
    </row>
    <row r="3" spans="1:6" ht="12.75">
      <c r="A3" s="72"/>
      <c r="B3" s="72"/>
      <c r="C3" s="72"/>
      <c r="D3" s="72"/>
      <c r="E3" s="72"/>
      <c r="F3" s="72"/>
    </row>
    <row r="4" ht="14.25">
      <c r="A4" s="36" t="str">
        <f>+'balance sheet'!A4</f>
        <v>Second quarter interim report for the financial period ended 30 September 2005</v>
      </c>
    </row>
    <row r="5" ht="12.75">
      <c r="A5" s="37" t="s">
        <v>0</v>
      </c>
    </row>
    <row r="6" ht="12.75">
      <c r="A6" s="12"/>
    </row>
    <row r="7" ht="12.75">
      <c r="A7" s="12" t="s">
        <v>68</v>
      </c>
    </row>
    <row r="8" ht="12.75">
      <c r="A8" s="12"/>
    </row>
    <row r="9" spans="4:6" s="53" customFormat="1" ht="12.75">
      <c r="D9" s="73" t="s">
        <v>118</v>
      </c>
      <c r="F9" s="73" t="s">
        <v>119</v>
      </c>
    </row>
    <row r="10" spans="4:6" s="53" customFormat="1" ht="12.75" customHeight="1" hidden="1">
      <c r="D10" s="67"/>
      <c r="F10" s="67"/>
    </row>
    <row r="11" spans="4:6" s="53" customFormat="1" ht="12.75" customHeight="1" hidden="1">
      <c r="D11" s="67"/>
      <c r="E11" s="58"/>
      <c r="F11" s="67"/>
    </row>
    <row r="12" spans="4:6" s="53" customFormat="1" ht="12.75">
      <c r="D12" s="59" t="s">
        <v>2</v>
      </c>
      <c r="E12" s="58"/>
      <c r="F12" s="59" t="s">
        <v>2</v>
      </c>
    </row>
    <row r="14" ht="12.75">
      <c r="B14" s="1" t="s">
        <v>69</v>
      </c>
    </row>
    <row r="15" ht="3.75" customHeight="1"/>
    <row r="16" spans="2:6" ht="12.75">
      <c r="B16" s="2" t="s">
        <v>49</v>
      </c>
      <c r="D16" s="45">
        <f>+'[2]CONSOL-CF'!$Y$10/1000+1</f>
        <v>15741.42679999998</v>
      </c>
      <c r="F16" s="3">
        <v>14887</v>
      </c>
    </row>
    <row r="17" spans="2:6" ht="12.75">
      <c r="B17" s="2" t="s">
        <v>70</v>
      </c>
      <c r="D17" s="49">
        <f>(+'[2]CONSOL-CF'!$Y$14+'[2]CONSOL-CF'!$Y$16+'[2]CONSOL-CF'!$Y$18+'[2]CONSOL-CF'!$Y$19+'[2]CONSOL-CF'!$Y$22+'[2]CONSOL-CF'!$Y$23+'[2]CONSOL-CF'!$Y$25)/1000</f>
        <v>-2978.00078</v>
      </c>
      <c r="F17" s="6">
        <v>-919</v>
      </c>
    </row>
    <row r="18" spans="2:6" ht="12.75">
      <c r="B18" s="15" t="s">
        <v>71</v>
      </c>
      <c r="D18" s="45">
        <f>SUM(D16:D17)</f>
        <v>12763.426019999979</v>
      </c>
      <c r="F18" s="3">
        <f>SUM(F16:F17)</f>
        <v>13968</v>
      </c>
    </row>
    <row r="19" spans="2:6" ht="12.75">
      <c r="B19" s="15" t="s">
        <v>72</v>
      </c>
      <c r="D19" s="49">
        <f>+('[2]CONSOL-CF'!$Y$33+'[2]CONSOL-CF'!$Y$34+'[2]CONSOL-CF'!$Y$35+'[2]CONSOL-CF'!$Y$36+'[2]CONSOL-CF'!$Y$37+'[2]CONSOL-CF'!$Y$40)/1000</f>
        <v>959.2278700000015</v>
      </c>
      <c r="F19" s="6">
        <v>-13871</v>
      </c>
    </row>
    <row r="20" spans="2:6" ht="12.75">
      <c r="B20" s="13" t="s">
        <v>123</v>
      </c>
      <c r="D20" s="45">
        <f>SUM(D18:D19)-1</f>
        <v>13721.65388999998</v>
      </c>
      <c r="F20" s="3">
        <f>SUM(F18:F19)</f>
        <v>97</v>
      </c>
    </row>
    <row r="21" spans="2:6" ht="12.75">
      <c r="B21" s="15" t="s">
        <v>73</v>
      </c>
      <c r="D21" s="45">
        <f>+'[2]CONSOL-CF'!$Y$44/1000</f>
        <v>-178.41422999999998</v>
      </c>
      <c r="F21" s="3">
        <v>-374</v>
      </c>
    </row>
    <row r="22" spans="2:6" ht="12.75">
      <c r="B22" s="15" t="s">
        <v>74</v>
      </c>
      <c r="D22" s="49">
        <f>+'[2]CONSOL-CF'!$Y$46/1000</f>
        <v>-2174.88</v>
      </c>
      <c r="F22" s="6">
        <v>-631</v>
      </c>
    </row>
    <row r="23" spans="2:6" ht="13.5" thickBot="1">
      <c r="B23" s="13" t="s">
        <v>112</v>
      </c>
      <c r="D23" s="68">
        <f>SUM(D20:D22)+1</f>
        <v>11369.35965999998</v>
      </c>
      <c r="F23" s="56">
        <f>SUM(F20:F22)</f>
        <v>-908</v>
      </c>
    </row>
    <row r="24" ht="12.75" customHeight="1">
      <c r="D24" s="45"/>
    </row>
    <row r="25" spans="2:4" ht="12.75">
      <c r="B25" s="1" t="s">
        <v>75</v>
      </c>
      <c r="D25" s="45"/>
    </row>
    <row r="26" ht="4.5" customHeight="1">
      <c r="D26" s="45"/>
    </row>
    <row r="27" spans="2:6" ht="12.75">
      <c r="B27" s="2" t="s">
        <v>76</v>
      </c>
      <c r="D27" s="51">
        <f>+'[2]CONSOL-CF'!$Y$53/1000</f>
        <v>112.22892</v>
      </c>
      <c r="F27" s="5">
        <v>56</v>
      </c>
    </row>
    <row r="28" spans="2:6" ht="12.75">
      <c r="B28" s="13" t="s">
        <v>91</v>
      </c>
      <c r="D28" s="51">
        <v>0</v>
      </c>
      <c r="F28" s="5">
        <v>760</v>
      </c>
    </row>
    <row r="29" spans="2:6" ht="12.75">
      <c r="B29" s="2" t="s">
        <v>3</v>
      </c>
      <c r="D29" s="51">
        <f>+('[2]CONSOL-CF'!$Y$56+'[2]CONSOL-CF'!$Y$58)/1000+1</f>
        <v>-406.66625</v>
      </c>
      <c r="F29" s="5">
        <v>-1010</v>
      </c>
    </row>
    <row r="30" spans="2:6" ht="12.75" hidden="1">
      <c r="B30" s="2" t="s">
        <v>88</v>
      </c>
      <c r="D30" s="51">
        <v>0</v>
      </c>
      <c r="F30" s="5">
        <v>0</v>
      </c>
    </row>
    <row r="31" spans="2:6" ht="12.75">
      <c r="B31" s="2" t="s">
        <v>77</v>
      </c>
      <c r="D31" s="49">
        <v>0</v>
      </c>
      <c r="F31" s="6">
        <v>-2278</v>
      </c>
    </row>
    <row r="32" spans="2:6" ht="13.5" thickBot="1">
      <c r="B32" s="2" t="s">
        <v>78</v>
      </c>
      <c r="D32" s="69">
        <f>SUM(D27:D31)-1</f>
        <v>-295.43733</v>
      </c>
      <c r="F32" s="57">
        <f>SUM(F27:F31)</f>
        <v>-2472</v>
      </c>
    </row>
    <row r="33" ht="12.75" customHeight="1">
      <c r="D33" s="45"/>
    </row>
    <row r="34" spans="2:4" ht="12.75">
      <c r="B34" s="1" t="s">
        <v>79</v>
      </c>
      <c r="D34" s="45"/>
    </row>
    <row r="35" spans="2:4" ht="4.5" customHeight="1">
      <c r="B35" s="1"/>
      <c r="D35" s="51"/>
    </row>
    <row r="36" spans="2:6" ht="13.5" customHeight="1">
      <c r="B36" s="15" t="s">
        <v>80</v>
      </c>
      <c r="D36" s="51">
        <f>+('[2]CONSOL-CF'!$Y$69+'[2]CONSOL-CF'!$Y$70+'[2]CONSOL-CF'!$Y$85+'[2]CONSOL-CF'!$Y$86+'[2]CONSOL-CF'!$Y$87)/1000+2</f>
        <v>1643.41591</v>
      </c>
      <c r="F36" s="5">
        <v>6118</v>
      </c>
    </row>
    <row r="37" spans="2:6" ht="12.75" hidden="1">
      <c r="B37" s="2" t="s">
        <v>81</v>
      </c>
      <c r="D37" s="51"/>
      <c r="F37" s="5"/>
    </row>
    <row r="38" spans="2:6" ht="12.75" hidden="1">
      <c r="B38" s="2" t="s">
        <v>82</v>
      </c>
      <c r="D38" s="51"/>
      <c r="F38" s="5"/>
    </row>
    <row r="39" spans="2:6" ht="12.75">
      <c r="B39" s="13" t="s">
        <v>83</v>
      </c>
      <c r="D39" s="51">
        <v>0</v>
      </c>
      <c r="F39" s="5">
        <v>495</v>
      </c>
    </row>
    <row r="40" spans="2:6" ht="12.75">
      <c r="B40" s="15" t="s">
        <v>89</v>
      </c>
      <c r="D40" s="51">
        <f>+'[2]CONSOL-CF'!$Y$73/1000</f>
        <v>1860.625</v>
      </c>
      <c r="F40" s="5">
        <v>0</v>
      </c>
    </row>
    <row r="41" spans="2:6" ht="12.75">
      <c r="B41" s="13" t="s">
        <v>84</v>
      </c>
      <c r="D41" s="49">
        <f>+'[2]CONSOL-CF'!$Y$81/1000</f>
        <v>-5672.625</v>
      </c>
      <c r="F41" s="6">
        <v>-3900</v>
      </c>
    </row>
    <row r="42" spans="2:6" ht="13.5" thickBot="1">
      <c r="B42" s="13" t="s">
        <v>113</v>
      </c>
      <c r="D42" s="69">
        <f>SUM(D36:D41)</f>
        <v>-2168.5840900000003</v>
      </c>
      <c r="F42" s="57">
        <f>SUM(F36:F41)</f>
        <v>2713</v>
      </c>
    </row>
    <row r="43" ht="12.75" customHeight="1">
      <c r="D43" s="45"/>
    </row>
    <row r="44" spans="2:6" ht="12.75">
      <c r="B44" s="13" t="s">
        <v>108</v>
      </c>
      <c r="D44" s="45">
        <f>+'[2]CONSOL-CF'!$Y$94/1000+3</f>
        <v>8905.33823999998</v>
      </c>
      <c r="F44" s="3">
        <v>-667</v>
      </c>
    </row>
    <row r="45" ht="4.5" customHeight="1">
      <c r="D45" s="45"/>
    </row>
    <row r="46" spans="2:6" ht="12.75">
      <c r="B46" s="13" t="s">
        <v>116</v>
      </c>
      <c r="D46" s="45">
        <v>24977</v>
      </c>
      <c r="F46" s="3">
        <v>19157</v>
      </c>
    </row>
    <row r="47" ht="4.5" customHeight="1">
      <c r="D47" s="45"/>
    </row>
    <row r="48" spans="2:6" ht="13.5" thickBot="1">
      <c r="B48" s="13" t="s">
        <v>115</v>
      </c>
      <c r="D48" s="68">
        <f>+D44+D46</f>
        <v>33882.33823999998</v>
      </c>
      <c r="F48" s="56">
        <f>+F44+F46</f>
        <v>18490</v>
      </c>
    </row>
    <row r="50" ht="12.75">
      <c r="B50" s="12" t="s">
        <v>114</v>
      </c>
    </row>
    <row r="51" spans="2:4" ht="12.75">
      <c r="B51" s="1" t="s">
        <v>31</v>
      </c>
      <c r="D51" s="16"/>
    </row>
  </sheetData>
  <printOptions/>
  <pageMargins left="1.33" right="0.5" top="1.25" bottom="0.25" header="0.25" footer="0"/>
  <pageSetup horizontalDpi="180" verticalDpi="180" orientation="portrait" paperSize="9" scale="90" r:id="rId1"/>
  <headerFooter alignWithMargins="0">
    <oddFooter>&amp;C&amp;"Times New Roman,Italic"&amp;8- Page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Donna</cp:lastModifiedBy>
  <cp:lastPrinted>2005-11-25T08:30:58Z</cp:lastPrinted>
  <dcterms:created xsi:type="dcterms:W3CDTF">1996-10-14T23:33:28Z</dcterms:created>
  <dcterms:modified xsi:type="dcterms:W3CDTF">2005-11-25T08:31:02Z</dcterms:modified>
  <cp:category/>
  <cp:version/>
  <cp:contentType/>
  <cp:contentStatus/>
</cp:coreProperties>
</file>